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WI DHS/DMS/BLTCF" reservationPassword="AB06"/>
  <workbookPr filterPrivacy="1" codeName="ThisWorkbook" defaultThemeVersion="124226"/>
  <workbookProtection workbookPassword="AB06" lockStructure="1"/>
  <bookViews>
    <workbookView xWindow="360" yWindow="1440" windowWidth="12120" windowHeight="7185" tabRatio="899"/>
  </bookViews>
  <sheets>
    <sheet name="D1. Member Months" sheetId="1" r:id="rId1"/>
    <sheet name="D2.S Services in Waiver Cost" sheetId="10" r:id="rId2"/>
    <sheet name="D2.A Admin in Waiver Cost" sheetId="11" r:id="rId3"/>
    <sheet name="D3. Actual Waiver Cost" sheetId="3" r:id="rId4"/>
    <sheet name="D4. Adjustments in Projection" sheetId="4" r:id="rId5"/>
    <sheet name="D5. Waiver Cost Projection" sheetId="5" r:id="rId6"/>
    <sheet name="D6. RO Targets" sheetId="6" r:id="rId7"/>
    <sheet name="D7. Summary" sheetId="7" r:id="rId8"/>
  </sheets>
  <definedNames>
    <definedName name="_xlnm._FilterDatabase" localSheetId="1" hidden="1">'D2.S Services in Waiver Cost'!#REF!</definedName>
    <definedName name="_xlnm.Print_Area" localSheetId="0">'D1. Member Months'!$A$1:$Q$42</definedName>
    <definedName name="_xlnm.Print_Area" localSheetId="2">'D2.A Admin in Waiver Cost'!$A$1:$I$66</definedName>
    <definedName name="_xlnm.Print_Area" localSheetId="1">'D2.S Services in Waiver Cost'!$A$1:$L$61</definedName>
    <definedName name="_xlnm.Print_Area" localSheetId="3">'D3. Actual Waiver Cost'!$A$1:$O$42</definedName>
    <definedName name="_xlnm.Print_Area" localSheetId="4">'D4. Adjustments in Projection'!$A$1:$D$16</definedName>
    <definedName name="_xlnm.Print_Area" localSheetId="5">'D5. Waiver Cost Projection'!$A$1:$AB$75</definedName>
    <definedName name="_xlnm.Print_Area" localSheetId="6">'D6. RO Targets'!$A$1:$AI$113</definedName>
    <definedName name="_xlnm.Print_Area" localSheetId="7">'D7. Summary'!$A$1:$N$118</definedName>
    <definedName name="_xlnm.Print_Titles" localSheetId="1">'D2.S Services in Waiver Cost'!$A:$B,'D2.S Services in Waiver Cost'!$1:$11</definedName>
    <definedName name="_xlnm.Print_Titles" localSheetId="3">'D3. Actual Waiver Cost'!$A:$C,'D3. Actual Waiver Cost'!$1:$3</definedName>
    <definedName name="_xlnm.Print_Titles" localSheetId="5">'D5. Waiver Cost Projection'!$A:$B,'D5. Waiver Cost Projection'!$1:$3</definedName>
    <definedName name="_xlnm.Print_Titles" localSheetId="6">'D6. RO Targets'!$1:$3</definedName>
    <definedName name="_xlnm.Print_Titles" localSheetId="7">'D7. Summary'!$A:$C,'D7. Summary'!$1:$3</definedName>
    <definedName name="Z_12599F2F_0B91_11D7_BEB7_000629BE218C_.wvu.PrintArea" localSheetId="5" hidden="1">'D5. Waiver Cost Projection'!$A$1:$AB$36</definedName>
    <definedName name="Z_2CDD54E7_0D43_43D8_97AB_3E3C5310036F_.wvu.PrintArea" localSheetId="1" hidden="1">'D2.S Services in Waiver Cost'!$A$1:$K$61</definedName>
    <definedName name="Z_2CDD54E7_0D43_43D8_97AB_3E3C5310036F_.wvu.PrintArea" localSheetId="3" hidden="1">'D3. Actual Waiver Cost'!$A$1:$O$42</definedName>
    <definedName name="Z_2CDD54E7_0D43_43D8_97AB_3E3C5310036F_.wvu.PrintArea" localSheetId="5" hidden="1">'D5. Waiver Cost Projection'!$A$1:$AB$38</definedName>
    <definedName name="Z_2CDD54E7_0D43_43D8_97AB_3E3C5310036F_.wvu.PrintArea" localSheetId="7" hidden="1">'D7. Summary'!$A$1:$N$60</definedName>
    <definedName name="Z_2CDD54E7_0D43_43D8_97AB_3E3C5310036F_.wvu.PrintTitles" localSheetId="1" hidden="1">'D2.S Services in Waiver Cost'!$A:$D,'D2.S Services in Waiver Cost'!$1:$1</definedName>
    <definedName name="Z_2CDD54E7_0D43_43D8_97AB_3E3C5310036F_.wvu.PrintTitles" localSheetId="3" hidden="1">'D3. Actual Waiver Cost'!$A:$C,'D3. Actual Waiver Cost'!$1:$3</definedName>
    <definedName name="Z_2CDD54E7_0D43_43D8_97AB_3E3C5310036F_.wvu.PrintTitles" localSheetId="5" hidden="1">'D5. Waiver Cost Projection'!$A:$B,'D5. Waiver Cost Projection'!$1:$3</definedName>
    <definedName name="Z_2CDD54E7_0D43_43D8_97AB_3E3C5310036F_.wvu.PrintTitles" localSheetId="6" hidden="1">'D6. RO Targets'!$A:$C,'D6. RO Targets'!$1:$3</definedName>
    <definedName name="Z_2CDD54E7_0D43_43D8_97AB_3E3C5310036F_.wvu.PrintTitles" localSheetId="7" hidden="1">'D7. Summary'!$A:$C,'D7. Summary'!$1:$3</definedName>
    <definedName name="Z_7D0B3912_65FA_42B8_B35F_0FF40989CBC0_.wvu.PrintArea" localSheetId="1" hidden="1">'D2.S Services in Waiver Cost'!$A$1:$K$61</definedName>
    <definedName name="Z_7D0B3912_65FA_42B8_B35F_0FF40989CBC0_.wvu.PrintArea" localSheetId="3" hidden="1">'D3. Actual Waiver Cost'!$A$1:$O$42</definedName>
    <definedName name="Z_7D0B3912_65FA_42B8_B35F_0FF40989CBC0_.wvu.PrintArea" localSheetId="5" hidden="1">'D5. Waiver Cost Projection'!$A$1:$AB$38</definedName>
    <definedName name="Z_7D0B3912_65FA_42B8_B35F_0FF40989CBC0_.wvu.PrintArea" localSheetId="7" hidden="1">'D7. Summary'!$A$1:$N$60</definedName>
    <definedName name="Z_7D0B3912_65FA_42B8_B35F_0FF40989CBC0_.wvu.PrintTitles" localSheetId="1" hidden="1">'D2.S Services in Waiver Cost'!$A:$D,'D2.S Services in Waiver Cost'!$1:$1</definedName>
    <definedName name="Z_7D0B3912_65FA_42B8_B35F_0FF40989CBC0_.wvu.PrintTitles" localSheetId="3" hidden="1">'D3. Actual Waiver Cost'!$A:$C,'D3. Actual Waiver Cost'!$1:$3</definedName>
    <definedName name="Z_7D0B3912_65FA_42B8_B35F_0FF40989CBC0_.wvu.PrintTitles" localSheetId="5" hidden="1">'D5. Waiver Cost Projection'!$A:$B,'D5. Waiver Cost Projection'!$1:$3</definedName>
    <definedName name="Z_7D0B3912_65FA_42B8_B35F_0FF40989CBC0_.wvu.PrintTitles" localSheetId="6" hidden="1">'D6. RO Targets'!$A:$C,'D6. RO Targets'!$1:$3</definedName>
    <definedName name="Z_7D0B3912_65FA_42B8_B35F_0FF40989CBC0_.wvu.PrintTitles" localSheetId="7" hidden="1">'D7. Summary'!$A:$C,'D7. Summary'!$1:$3</definedName>
  </definedNames>
  <calcPr calcId="145621"/>
</workbook>
</file>

<file path=xl/calcChain.xml><?xml version="1.0" encoding="utf-8"?>
<calcChain xmlns="http://schemas.openxmlformats.org/spreadsheetml/2006/main">
  <c r="Q9" i="1" l="1"/>
  <c r="Q8" i="1" l="1"/>
  <c r="B94" i="7" l="1"/>
  <c r="B93" i="7"/>
  <c r="B81" i="7"/>
  <c r="B80" i="7"/>
  <c r="B68" i="7"/>
  <c r="B67" i="7"/>
  <c r="B55" i="7"/>
  <c r="B54" i="7"/>
  <c r="B42" i="7"/>
  <c r="B41" i="7"/>
  <c r="B25" i="7"/>
  <c r="B24" i="7"/>
  <c r="B13" i="7"/>
  <c r="B12" i="7"/>
  <c r="Q110" i="6"/>
  <c r="Q109" i="6"/>
  <c r="Q88" i="6"/>
  <c r="Q87" i="6"/>
  <c r="Q66" i="6"/>
  <c r="Q65" i="6"/>
  <c r="Q44" i="6"/>
  <c r="Q43" i="6"/>
  <c r="Q22" i="6"/>
  <c r="Q21" i="6"/>
  <c r="B110" i="6" l="1"/>
  <c r="B109" i="6"/>
  <c r="B99" i="6"/>
  <c r="B98" i="6"/>
  <c r="B88" i="6"/>
  <c r="B87" i="6"/>
  <c r="B77" i="6"/>
  <c r="B76" i="6"/>
  <c r="B66" i="6"/>
  <c r="B65" i="6"/>
  <c r="B55" i="6"/>
  <c r="B54" i="6"/>
  <c r="B71" i="5" l="1"/>
  <c r="B70" i="5"/>
  <c r="B58" i="5"/>
  <c r="B57" i="5"/>
  <c r="B44" i="5"/>
  <c r="B43" i="5"/>
  <c r="B31" i="5"/>
  <c r="B30" i="5"/>
  <c r="B14" i="5"/>
  <c r="B13" i="5"/>
  <c r="D17" i="3" l="1"/>
  <c r="F22" i="6"/>
  <c r="F44" i="6"/>
  <c r="I44" i="6"/>
  <c r="F66" i="6"/>
  <c r="I66" i="6"/>
  <c r="C88" i="6"/>
  <c r="F88" i="6"/>
  <c r="F87" i="6"/>
  <c r="I88" i="6"/>
  <c r="C109" i="6"/>
  <c r="F110" i="6"/>
  <c r="I110" i="6"/>
  <c r="Q14" i="1"/>
  <c r="Q13" i="1"/>
  <c r="Q10" i="1"/>
  <c r="E3" i="11"/>
  <c r="I21" i="1"/>
  <c r="I20" i="1"/>
  <c r="B33" i="1"/>
  <c r="B32" i="1"/>
  <c r="B27" i="3"/>
  <c r="B26" i="3"/>
  <c r="B14" i="3"/>
  <c r="B13" i="3"/>
  <c r="B107" i="7"/>
  <c r="B106" i="7"/>
  <c r="W66" i="6"/>
  <c r="W65" i="6"/>
  <c r="W56" i="6"/>
  <c r="W55" i="6"/>
  <c r="W44" i="6"/>
  <c r="W43" i="6"/>
  <c r="W34" i="6"/>
  <c r="W33" i="6"/>
  <c r="W22" i="6"/>
  <c r="W21" i="6"/>
  <c r="W12" i="6"/>
  <c r="W11" i="6"/>
  <c r="B44" i="6"/>
  <c r="B43" i="6"/>
  <c r="B22" i="6"/>
  <c r="B21" i="6"/>
  <c r="B11" i="6"/>
  <c r="B10" i="6"/>
  <c r="B33" i="6"/>
  <c r="B32" i="6"/>
  <c r="E9" i="1"/>
  <c r="F9" i="1" s="1"/>
  <c r="Q12" i="1"/>
  <c r="Q15" i="1"/>
  <c r="Q16" i="1" s="1"/>
  <c r="Q11" i="1"/>
  <c r="AG108" i="6"/>
  <c r="AG86" i="6"/>
  <c r="U64" i="6"/>
  <c r="AG64" i="6"/>
  <c r="H31" i="1"/>
  <c r="I31" i="1" s="1"/>
  <c r="J31" i="1" s="1"/>
  <c r="K31" i="1" s="1"/>
  <c r="M31" i="1"/>
  <c r="N31" i="1" s="1"/>
  <c r="O31" i="1" s="1"/>
  <c r="P31" i="1"/>
  <c r="C31" i="1"/>
  <c r="D31" i="1" s="1"/>
  <c r="R64" i="6" s="1"/>
  <c r="X64" i="6" s="1"/>
  <c r="S60" i="6"/>
  <c r="Q60" i="6"/>
  <c r="V104" i="6"/>
  <c r="V94" i="6"/>
  <c r="V82" i="6"/>
  <c r="V72" i="6"/>
  <c r="AI69" i="6"/>
  <c r="AF69" i="6"/>
  <c r="AC69" i="6"/>
  <c r="Z69" i="6"/>
  <c r="AI66" i="6"/>
  <c r="AF66" i="6"/>
  <c r="AC66" i="6"/>
  <c r="Z66" i="6"/>
  <c r="AI65" i="6"/>
  <c r="AF65" i="6"/>
  <c r="AC65" i="6"/>
  <c r="Z65" i="6"/>
  <c r="V60" i="6"/>
  <c r="V50" i="6"/>
  <c r="S38" i="6"/>
  <c r="Q38" i="6"/>
  <c r="U20" i="6"/>
  <c r="AG20" i="6" s="1"/>
  <c r="U42" i="6"/>
  <c r="J9" i="1"/>
  <c r="K9" i="1" s="1"/>
  <c r="D9" i="1"/>
  <c r="C9" i="1"/>
  <c r="E3" i="7"/>
  <c r="AA3" i="6"/>
  <c r="S3" i="6"/>
  <c r="H3" i="6"/>
  <c r="S16" i="6"/>
  <c r="Q16" i="6"/>
  <c r="W3" i="5"/>
  <c r="H3" i="5"/>
  <c r="D3" i="4"/>
  <c r="M3" i="3"/>
  <c r="F3" i="3"/>
  <c r="H17" i="3"/>
  <c r="E17" i="3"/>
  <c r="H30" i="3"/>
  <c r="G30" i="3"/>
  <c r="E30" i="3"/>
  <c r="V38" i="6"/>
  <c r="V28" i="6"/>
  <c r="V16" i="6"/>
  <c r="V6" i="6"/>
  <c r="AG42" i="6"/>
  <c r="AI47" i="6"/>
  <c r="AF47" i="6"/>
  <c r="AC47" i="6"/>
  <c r="Z47" i="6"/>
  <c r="AI25" i="6"/>
  <c r="AF25" i="6"/>
  <c r="AC25" i="6"/>
  <c r="Z25" i="6"/>
  <c r="AI44" i="6"/>
  <c r="AF44" i="6"/>
  <c r="AC44" i="6"/>
  <c r="Z44" i="6"/>
  <c r="AI43" i="6"/>
  <c r="AF43" i="6"/>
  <c r="AC43" i="6"/>
  <c r="Z43" i="6"/>
  <c r="AI22" i="6"/>
  <c r="AI21" i="6"/>
  <c r="AF22" i="6"/>
  <c r="AF21" i="6"/>
  <c r="AC22" i="6"/>
  <c r="AC21" i="6"/>
  <c r="Z22" i="6"/>
  <c r="Z21" i="6"/>
  <c r="X108" i="6"/>
  <c r="X86" i="6"/>
  <c r="AD108" i="6"/>
  <c r="AA108" i="6"/>
  <c r="AA86" i="6"/>
  <c r="AD86" i="6"/>
  <c r="F14" i="3"/>
  <c r="G17" i="3"/>
  <c r="L9" i="1"/>
  <c r="M9" i="1" s="1"/>
  <c r="T42" i="6" s="1"/>
  <c r="AD42" i="6" s="1"/>
  <c r="R42" i="6"/>
  <c r="X42" i="6"/>
  <c r="E31" i="1"/>
  <c r="F31" i="1" s="1"/>
  <c r="T64" i="6" s="1"/>
  <c r="G9" i="1"/>
  <c r="R20" i="6"/>
  <c r="X20" i="6"/>
  <c r="S42" i="6"/>
  <c r="AA42" i="6"/>
  <c r="S64" i="6"/>
  <c r="AA64" i="6" s="1"/>
  <c r="AD64" i="6"/>
  <c r="F13" i="3" l="1"/>
  <c r="Q21" i="1"/>
  <c r="Q22" i="1" s="1"/>
  <c r="Q19" i="1"/>
  <c r="Q20" i="1" s="1"/>
  <c r="F17" i="3"/>
  <c r="C65" i="6"/>
  <c r="C44" i="6"/>
  <c r="F91" i="6"/>
  <c r="N13" i="7"/>
  <c r="N24" i="7"/>
  <c r="N12" i="7"/>
  <c r="N25" i="7"/>
  <c r="F60" i="11"/>
  <c r="J13" i="3" s="1"/>
  <c r="H60" i="11"/>
  <c r="G60" i="11"/>
  <c r="J14" i="3" s="1"/>
  <c r="S20" i="6"/>
  <c r="AA20" i="6" s="1"/>
  <c r="H9" i="1"/>
  <c r="T20" i="6" s="1"/>
  <c r="AD20" i="6" s="1"/>
  <c r="Q17" i="1"/>
  <c r="Q18" i="1" s="1"/>
  <c r="Q23" i="1"/>
  <c r="Q24" i="1" s="1"/>
  <c r="L66" i="6"/>
  <c r="L43" i="6"/>
  <c r="F36" i="1"/>
  <c r="L109" i="6"/>
  <c r="L44" i="6"/>
  <c r="L21" i="6"/>
  <c r="L110" i="6"/>
  <c r="L87" i="6"/>
  <c r="L22" i="6"/>
  <c r="F21" i="6"/>
  <c r="F25" i="6" s="1"/>
  <c r="F65" i="6"/>
  <c r="F69" i="6" s="1"/>
  <c r="I22" i="6"/>
  <c r="I36" i="1"/>
  <c r="E14" i="1"/>
  <c r="C21" i="6"/>
  <c r="C22" i="6"/>
  <c r="C43" i="6"/>
  <c r="F43" i="6"/>
  <c r="F47" i="6" s="1"/>
  <c r="K14" i="1"/>
  <c r="C36" i="1" l="1"/>
  <c r="G32" i="1"/>
  <c r="C67" i="7" s="1"/>
  <c r="L65" i="6"/>
  <c r="L69" i="6" s="1"/>
  <c r="L47" i="6"/>
  <c r="J14" i="1"/>
  <c r="K15" i="1" s="1"/>
  <c r="K36" i="1"/>
  <c r="N11" i="1"/>
  <c r="C33" i="6" s="1"/>
  <c r="L113" i="6"/>
  <c r="D36" i="1"/>
  <c r="N36" i="1"/>
  <c r="F109" i="6"/>
  <c r="F113" i="6" s="1"/>
  <c r="L33" i="1"/>
  <c r="L88" i="6"/>
  <c r="L91" i="6" s="1"/>
  <c r="Q33" i="1"/>
  <c r="O36" i="1"/>
  <c r="I109" i="6"/>
  <c r="I113" i="6" s="1"/>
  <c r="H36" i="1"/>
  <c r="I37" i="1" s="1"/>
  <c r="C87" i="6"/>
  <c r="C91" i="6" s="1"/>
  <c r="C66" i="6"/>
  <c r="C69" i="6" s="1"/>
  <c r="C47" i="6"/>
  <c r="J36" i="1"/>
  <c r="I87" i="6"/>
  <c r="I91" i="6" s="1"/>
  <c r="M36" i="1"/>
  <c r="C110" i="6"/>
  <c r="C113" i="6" s="1"/>
  <c r="H14" i="1"/>
  <c r="I17" i="3"/>
  <c r="D37" i="1"/>
  <c r="G33" i="1"/>
  <c r="C55" i="6" s="1"/>
  <c r="M14" i="1"/>
  <c r="C37" i="1" s="1"/>
  <c r="F27" i="3"/>
  <c r="J17" i="3"/>
  <c r="I10" i="1"/>
  <c r="C41" i="7" s="1"/>
  <c r="F14" i="1"/>
  <c r="F15" i="1" s="1"/>
  <c r="I60" i="11"/>
  <c r="Q32" i="1"/>
  <c r="P36" i="1"/>
  <c r="G14" i="1"/>
  <c r="I21" i="6"/>
  <c r="I65" i="6"/>
  <c r="I69" i="6" s="1"/>
  <c r="E36" i="1"/>
  <c r="F37" i="1" s="1"/>
  <c r="L32" i="1"/>
  <c r="I11" i="1"/>
  <c r="I43" i="6"/>
  <c r="I47" i="6" s="1"/>
  <c r="L14" i="1"/>
  <c r="N10" i="1"/>
  <c r="L25" i="6"/>
  <c r="C25" i="6"/>
  <c r="C55" i="7"/>
  <c r="C54" i="6" l="1"/>
  <c r="J21" i="1"/>
  <c r="C107" i="7" s="1"/>
  <c r="J15" i="1"/>
  <c r="K37" i="1"/>
  <c r="C10" i="6"/>
  <c r="M37" i="1"/>
  <c r="E37" i="1"/>
  <c r="P37" i="1"/>
  <c r="O37" i="1"/>
  <c r="J37" i="1"/>
  <c r="C11" i="6"/>
  <c r="H37" i="1"/>
  <c r="H15" i="1"/>
  <c r="M15" i="1"/>
  <c r="C68" i="7"/>
  <c r="C71" i="7" s="1"/>
  <c r="C93" i="7"/>
  <c r="C98" i="6"/>
  <c r="C81" i="7"/>
  <c r="C77" i="6"/>
  <c r="Q36" i="1"/>
  <c r="N37" i="1"/>
  <c r="L36" i="1"/>
  <c r="C80" i="7"/>
  <c r="C76" i="6"/>
  <c r="C99" i="6"/>
  <c r="C94" i="7"/>
  <c r="C71" i="5"/>
  <c r="C14" i="5"/>
  <c r="C44" i="5"/>
  <c r="C58" i="5"/>
  <c r="C31" i="5"/>
  <c r="J27" i="3"/>
  <c r="K21" i="1"/>
  <c r="D107" i="7" s="1"/>
  <c r="J20" i="1"/>
  <c r="C106" i="7" s="1"/>
  <c r="C110" i="7" s="1"/>
  <c r="C58" i="6"/>
  <c r="G36" i="1"/>
  <c r="F26" i="3"/>
  <c r="D30" i="3"/>
  <c r="I30" i="3"/>
  <c r="C27" i="3"/>
  <c r="C25" i="7"/>
  <c r="C14" i="3"/>
  <c r="C13" i="7"/>
  <c r="G15" i="1"/>
  <c r="I14" i="1"/>
  <c r="C42" i="7"/>
  <c r="C45" i="7" s="1"/>
  <c r="N14" i="1"/>
  <c r="K20" i="1"/>
  <c r="D106" i="7" s="1"/>
  <c r="L15" i="1"/>
  <c r="C32" i="6"/>
  <c r="C36" i="6" s="1"/>
  <c r="C54" i="7"/>
  <c r="C58" i="7" s="1"/>
  <c r="I25" i="6"/>
  <c r="J24" i="1" l="1"/>
  <c r="C14" i="6"/>
  <c r="C80" i="6"/>
  <c r="H42" i="1"/>
  <c r="C97" i="7"/>
  <c r="D110" i="7"/>
  <c r="G42" i="1"/>
  <c r="K24" i="1"/>
  <c r="C84" i="7"/>
  <c r="C102" i="6"/>
  <c r="F42" i="1"/>
  <c r="C57" i="5"/>
  <c r="C61" i="5" s="1"/>
  <c r="C30" i="5"/>
  <c r="C34" i="5" s="1"/>
  <c r="C43" i="5"/>
  <c r="C47" i="5" s="1"/>
  <c r="C70" i="5"/>
  <c r="C74" i="5" s="1"/>
  <c r="C13" i="5"/>
  <c r="M27" i="3"/>
  <c r="L27" i="3"/>
  <c r="N27" i="3"/>
  <c r="L14" i="3"/>
  <c r="E13" i="7" s="1"/>
  <c r="M14" i="3"/>
  <c r="F13" i="7" s="1"/>
  <c r="O14" i="3"/>
  <c r="H13" i="7" s="1"/>
  <c r="K14" i="3"/>
  <c r="D13" i="7" s="1"/>
  <c r="N14" i="3"/>
  <c r="G13" i="7" s="1"/>
  <c r="F30" i="3"/>
  <c r="J26" i="3"/>
  <c r="K27" i="3"/>
  <c r="O27" i="3"/>
  <c r="E42" i="1"/>
  <c r="D14" i="1"/>
  <c r="D42" i="1" s="1"/>
  <c r="C26" i="3"/>
  <c r="C24" i="7"/>
  <c r="C28" i="7" s="1"/>
  <c r="C12" i="7"/>
  <c r="C13" i="3"/>
  <c r="C14" i="1"/>
  <c r="C16" i="7" s="1"/>
  <c r="N17" i="7" l="1"/>
  <c r="N18" i="7" s="1"/>
  <c r="K17" i="7"/>
  <c r="J17" i="7"/>
  <c r="M17" i="7"/>
  <c r="L17" i="7"/>
  <c r="M26" i="3"/>
  <c r="L26" i="3"/>
  <c r="C30" i="3"/>
  <c r="N26" i="3"/>
  <c r="H14" i="5"/>
  <c r="H25" i="7"/>
  <c r="I25" i="7" s="1"/>
  <c r="D14" i="5"/>
  <c r="I14" i="5" s="1"/>
  <c r="D25" i="7"/>
  <c r="M13" i="3"/>
  <c r="F12" i="7" s="1"/>
  <c r="F17" i="7" s="1"/>
  <c r="L13" i="3"/>
  <c r="E12" i="7" s="1"/>
  <c r="E17" i="7" s="1"/>
  <c r="C17" i="3"/>
  <c r="K13" i="3"/>
  <c r="D12" i="7" s="1"/>
  <c r="D17" i="7" s="1"/>
  <c r="N13" i="3"/>
  <c r="G12" i="7" s="1"/>
  <c r="G17" i="7" s="1"/>
  <c r="O13" i="3"/>
  <c r="H12" i="7" s="1"/>
  <c r="C42" i="1"/>
  <c r="J42" i="1"/>
  <c r="L30" i="7"/>
  <c r="M30" i="7"/>
  <c r="J30" i="7"/>
  <c r="N30" i="7"/>
  <c r="N31" i="7" s="1"/>
  <c r="K30" i="7"/>
  <c r="O26" i="3"/>
  <c r="J30" i="3"/>
  <c r="E25" i="7"/>
  <c r="E14" i="5"/>
  <c r="P14" i="5" s="1"/>
  <c r="I42" i="1"/>
  <c r="C17" i="5"/>
  <c r="K26" i="3"/>
  <c r="G14" i="5"/>
  <c r="X14" i="5" s="1"/>
  <c r="G25" i="7"/>
  <c r="F25" i="7"/>
  <c r="F14" i="5"/>
  <c r="T14" i="5" s="1"/>
  <c r="V14" i="5" s="1"/>
  <c r="W14" i="5" s="1"/>
  <c r="R14" i="5" l="1"/>
  <c r="S14" i="5" s="1"/>
  <c r="M18" i="3"/>
  <c r="N18" i="3"/>
  <c r="K18" i="3"/>
  <c r="L18" i="3"/>
  <c r="O18" i="3"/>
  <c r="F13" i="5"/>
  <c r="T13" i="5" s="1"/>
  <c r="V13" i="5" s="1"/>
  <c r="W13" i="5" s="1"/>
  <c r="F24" i="7"/>
  <c r="D24" i="7"/>
  <c r="D13" i="5"/>
  <c r="I13" i="5" s="1"/>
  <c r="O31" i="3"/>
  <c r="H18" i="5" s="1"/>
  <c r="G13" i="5"/>
  <c r="X13" i="5" s="1"/>
  <c r="G24" i="7"/>
  <c r="F11" i="6"/>
  <c r="F31" i="5"/>
  <c r="H13" i="5"/>
  <c r="H24" i="7"/>
  <c r="M31" i="3"/>
  <c r="F18" i="5" s="1"/>
  <c r="T18" i="5" s="1"/>
  <c r="U18" i="5" s="1"/>
  <c r="L31" i="3"/>
  <c r="E18" i="5" s="1"/>
  <c r="P18" i="5" s="1"/>
  <c r="N31" i="3"/>
  <c r="G18" i="5" s="1"/>
  <c r="X18" i="5" s="1"/>
  <c r="Z14" i="5"/>
  <c r="AA14" i="5" s="1"/>
  <c r="G31" i="5" s="1"/>
  <c r="K14" i="5"/>
  <c r="N33" i="7"/>
  <c r="K31" i="3"/>
  <c r="D18" i="5" s="1"/>
  <c r="I18" i="5" s="1"/>
  <c r="E13" i="5"/>
  <c r="P13" i="5" s="1"/>
  <c r="E24" i="7"/>
  <c r="H17" i="7"/>
  <c r="H18" i="7" s="1"/>
  <c r="V18" i="5" l="1"/>
  <c r="W18" i="5" s="1"/>
  <c r="F35" i="5" s="1"/>
  <c r="T35" i="5" s="1"/>
  <c r="U35" i="5" s="1"/>
  <c r="M14" i="5"/>
  <c r="N14" i="5" s="1"/>
  <c r="O14" i="5" s="1"/>
  <c r="AB14" i="5" s="1"/>
  <c r="G11" i="6"/>
  <c r="H22" i="6" s="1"/>
  <c r="E31" i="5"/>
  <c r="E11" i="6"/>
  <c r="E30" i="7"/>
  <c r="E29" i="7"/>
  <c r="I24" i="7"/>
  <c r="H29" i="7"/>
  <c r="I29" i="7" s="1"/>
  <c r="H30" i="7"/>
  <c r="F42" i="7"/>
  <c r="T31" i="5"/>
  <c r="V31" i="5" s="1"/>
  <c r="W31" i="5" s="1"/>
  <c r="F29" i="7"/>
  <c r="F30" i="7"/>
  <c r="R13" i="5"/>
  <c r="R18" i="5" s="1"/>
  <c r="S18" i="5" s="1"/>
  <c r="E35" i="5" s="1"/>
  <c r="P35" i="5" s="1"/>
  <c r="D29" i="7"/>
  <c r="D30" i="7"/>
  <c r="F10" i="6"/>
  <c r="F15" i="6" s="1"/>
  <c r="F30" i="5"/>
  <c r="G30" i="7"/>
  <c r="G29" i="7"/>
  <c r="Q18" i="5"/>
  <c r="X31" i="5"/>
  <c r="G42" i="7"/>
  <c r="N22" i="6" l="1"/>
  <c r="E22" i="6"/>
  <c r="K22" i="6"/>
  <c r="H11" i="6"/>
  <c r="I11" i="6" s="1"/>
  <c r="X12" i="6" s="1"/>
  <c r="H31" i="5"/>
  <c r="H42" i="7" s="1"/>
  <c r="I42" i="7" s="1"/>
  <c r="Q35" i="5"/>
  <c r="S13" i="5"/>
  <c r="D31" i="5"/>
  <c r="D11" i="6"/>
  <c r="K13" i="5"/>
  <c r="K18" i="5" s="1"/>
  <c r="J18" i="5" s="1"/>
  <c r="Z13" i="5"/>
  <c r="T30" i="5"/>
  <c r="V30" i="5" s="1"/>
  <c r="V35" i="5" s="1"/>
  <c r="F41" i="7"/>
  <c r="F55" i="7"/>
  <c r="F44" i="5"/>
  <c r="T44" i="5" s="1"/>
  <c r="V44" i="5" s="1"/>
  <c r="W44" i="5" s="1"/>
  <c r="F58" i="5" s="1"/>
  <c r="T58" i="5" s="1"/>
  <c r="V58" i="5" s="1"/>
  <c r="W58" i="5" s="1"/>
  <c r="F33" i="6"/>
  <c r="I30" i="7"/>
  <c r="H31" i="7"/>
  <c r="H33" i="7" s="1"/>
  <c r="H34" i="7" s="1"/>
  <c r="E42" i="7"/>
  <c r="P31" i="5"/>
  <c r="Z31" i="5"/>
  <c r="M13" i="5" l="1"/>
  <c r="F77" i="6"/>
  <c r="F81" i="7"/>
  <c r="F71" i="5"/>
  <c r="T71" i="5" s="1"/>
  <c r="V71" i="5" s="1"/>
  <c r="W71" i="5" s="1"/>
  <c r="AA31" i="5"/>
  <c r="G55" i="7" s="1"/>
  <c r="R31" i="5"/>
  <c r="S31" i="5" s="1"/>
  <c r="W30" i="5"/>
  <c r="W35" i="5"/>
  <c r="F48" i="5" s="1"/>
  <c r="T48" i="5" s="1"/>
  <c r="U48" i="5" s="1"/>
  <c r="F55" i="6"/>
  <c r="F68" i="7"/>
  <c r="G22" i="6"/>
  <c r="S22" i="6" s="1"/>
  <c r="J22" i="6"/>
  <c r="T22" i="6" s="1"/>
  <c r="M22" i="6"/>
  <c r="U22" i="6" s="1"/>
  <c r="D22" i="6"/>
  <c r="E30" i="5"/>
  <c r="E10" i="6"/>
  <c r="E15" i="6" s="1"/>
  <c r="F47" i="7"/>
  <c r="F46" i="7"/>
  <c r="AA13" i="5"/>
  <c r="Z18" i="5"/>
  <c r="D42" i="7"/>
  <c r="I31" i="5"/>
  <c r="K31" i="5" s="1"/>
  <c r="G44" i="5" l="1"/>
  <c r="X44" i="5" s="1"/>
  <c r="Z44" i="5" s="1"/>
  <c r="AA44" i="5" s="1"/>
  <c r="G58" i="5" s="1"/>
  <c r="X58" i="5" s="1"/>
  <c r="Z58" i="5" s="1"/>
  <c r="AA58" i="5" s="1"/>
  <c r="G77" i="6" s="1"/>
  <c r="G33" i="6"/>
  <c r="E44" i="6" s="1"/>
  <c r="F94" i="7"/>
  <c r="F99" i="6"/>
  <c r="M31" i="5"/>
  <c r="N31" i="5" s="1"/>
  <c r="O31" i="5" s="1"/>
  <c r="D44" i="5" s="1"/>
  <c r="I44" i="5" s="1"/>
  <c r="G10" i="6"/>
  <c r="G30" i="5"/>
  <c r="R22" i="6"/>
  <c r="O22" i="6"/>
  <c r="P30" i="5"/>
  <c r="E41" i="7"/>
  <c r="F43" i="5"/>
  <c r="T43" i="5" s="1"/>
  <c r="V43" i="5" s="1"/>
  <c r="V48" i="5" s="1"/>
  <c r="F32" i="6"/>
  <c r="F37" i="6" s="1"/>
  <c r="F54" i="7"/>
  <c r="N13" i="5"/>
  <c r="O13" i="5" s="1"/>
  <c r="AB13" i="5" s="1"/>
  <c r="M18" i="5"/>
  <c r="E33" i="6"/>
  <c r="E55" i="7"/>
  <c r="E44" i="5"/>
  <c r="P44" i="5" s="1"/>
  <c r="AA18" i="5"/>
  <c r="Y18" i="5"/>
  <c r="G55" i="6" l="1"/>
  <c r="K66" i="6" s="1"/>
  <c r="G71" i="5"/>
  <c r="X71" i="5" s="1"/>
  <c r="Z71" i="5" s="1"/>
  <c r="AA71" i="5" s="1"/>
  <c r="G99" i="6" s="1"/>
  <c r="G68" i="7"/>
  <c r="G81" i="7"/>
  <c r="K44" i="6"/>
  <c r="N44" i="6"/>
  <c r="H44" i="6"/>
  <c r="H88" i="6"/>
  <c r="K88" i="6"/>
  <c r="N88" i="6"/>
  <c r="E88" i="6"/>
  <c r="AB31" i="5"/>
  <c r="H33" i="6" s="1"/>
  <c r="I33" i="6" s="1"/>
  <c r="X34" i="6" s="1"/>
  <c r="D33" i="6"/>
  <c r="J44" i="6" s="1"/>
  <c r="T44" i="6" s="1"/>
  <c r="D55" i="7"/>
  <c r="F59" i="7"/>
  <c r="F60" i="7"/>
  <c r="H10" i="6"/>
  <c r="H30" i="5"/>
  <c r="H41" i="7" s="1"/>
  <c r="G41" i="7"/>
  <c r="X30" i="5"/>
  <c r="G35" i="5"/>
  <c r="X35" i="5" s="1"/>
  <c r="N18" i="5"/>
  <c r="O18" i="5" s="1"/>
  <c r="D35" i="5" s="1"/>
  <c r="I35" i="5" s="1"/>
  <c r="L18" i="5"/>
  <c r="W43" i="5"/>
  <c r="F57" i="5" s="1"/>
  <c r="T57" i="5" s="1"/>
  <c r="V57" i="5" s="1"/>
  <c r="W48" i="5"/>
  <c r="F62" i="5" s="1"/>
  <c r="T62" i="5" s="1"/>
  <c r="U62" i="5" s="1"/>
  <c r="E47" i="7"/>
  <c r="E46" i="7"/>
  <c r="H21" i="6"/>
  <c r="H25" i="6" s="1"/>
  <c r="S25" i="6" s="1"/>
  <c r="N21" i="6"/>
  <c r="N25" i="6" s="1"/>
  <c r="U25" i="6" s="1"/>
  <c r="E21" i="6"/>
  <c r="E25" i="6" s="1"/>
  <c r="R25" i="6" s="1"/>
  <c r="K21" i="6"/>
  <c r="K25" i="6" s="1"/>
  <c r="T25" i="6" s="1"/>
  <c r="G15" i="6"/>
  <c r="X15" i="6" s="1"/>
  <c r="R44" i="5"/>
  <c r="S44" i="5" s="1"/>
  <c r="E58" i="5" s="1"/>
  <c r="P58" i="5" s="1"/>
  <c r="R58" i="5" s="1"/>
  <c r="S58" i="5" s="1"/>
  <c r="D10" i="6"/>
  <c r="D30" i="5"/>
  <c r="R30" i="5"/>
  <c r="K44" i="5"/>
  <c r="M44" i="5" s="1"/>
  <c r="N66" i="6" l="1"/>
  <c r="E66" i="6"/>
  <c r="H66" i="6"/>
  <c r="G94" i="7"/>
  <c r="E77" i="6"/>
  <c r="E81" i="7"/>
  <c r="E71" i="5"/>
  <c r="P71" i="5" s="1"/>
  <c r="R71" i="5" s="1"/>
  <c r="S71" i="5" s="1"/>
  <c r="R35" i="5"/>
  <c r="S35" i="5" s="1"/>
  <c r="E48" i="5" s="1"/>
  <c r="P48" i="5" s="1"/>
  <c r="Q48" i="5" s="1"/>
  <c r="W57" i="5"/>
  <c r="V62" i="5"/>
  <c r="W62" i="5" s="1"/>
  <c r="F75" i="5" s="1"/>
  <c r="T75" i="5" s="1"/>
  <c r="U75" i="5" s="1"/>
  <c r="N110" i="6"/>
  <c r="K110" i="6"/>
  <c r="H110" i="6"/>
  <c r="E110" i="6"/>
  <c r="H55" i="7"/>
  <c r="H44" i="5"/>
  <c r="M44" i="6"/>
  <c r="U44" i="6" s="1"/>
  <c r="G44" i="6"/>
  <c r="S44" i="6" s="1"/>
  <c r="D44" i="6"/>
  <c r="AB18" i="5"/>
  <c r="H35" i="5" s="1"/>
  <c r="E55" i="6"/>
  <c r="E68" i="7"/>
  <c r="S30" i="5"/>
  <c r="I30" i="5"/>
  <c r="K30" i="5" s="1"/>
  <c r="K35" i="5" s="1"/>
  <c r="D41" i="7"/>
  <c r="F67" i="7"/>
  <c r="F54" i="6"/>
  <c r="F59" i="6" s="1"/>
  <c r="I41" i="7"/>
  <c r="H47" i="7"/>
  <c r="H46" i="7"/>
  <c r="I46" i="7" s="1"/>
  <c r="M21" i="6"/>
  <c r="D21" i="6"/>
  <c r="J21" i="6"/>
  <c r="G21" i="6"/>
  <c r="D15" i="6"/>
  <c r="I10" i="6"/>
  <c r="X11" i="6" s="1"/>
  <c r="H15" i="6"/>
  <c r="G46" i="7"/>
  <c r="G47" i="7"/>
  <c r="Z30" i="5"/>
  <c r="Z35" i="5" s="1"/>
  <c r="N44" i="5"/>
  <c r="O44" i="5" s="1"/>
  <c r="D58" i="5" s="1"/>
  <c r="I58" i="5" s="1"/>
  <c r="F80" i="7" l="1"/>
  <c r="F76" i="6"/>
  <c r="F81" i="6" s="1"/>
  <c r="F70" i="5"/>
  <c r="T70" i="5" s="1"/>
  <c r="V70" i="5" s="1"/>
  <c r="F73" i="7"/>
  <c r="F72" i="7"/>
  <c r="E94" i="7"/>
  <c r="E99" i="6"/>
  <c r="I55" i="7"/>
  <c r="K107" i="7"/>
  <c r="I107" i="7"/>
  <c r="K58" i="5"/>
  <c r="M58" i="5" s="1"/>
  <c r="N58" i="5" s="1"/>
  <c r="O58" i="5" s="1"/>
  <c r="O44" i="6"/>
  <c r="R44" i="6"/>
  <c r="D25" i="6"/>
  <c r="R21" i="6"/>
  <c r="O21" i="6"/>
  <c r="O25" i="6" s="1"/>
  <c r="U21" i="6"/>
  <c r="M25" i="6"/>
  <c r="E43" i="5"/>
  <c r="P43" i="5" s="1"/>
  <c r="E54" i="7"/>
  <c r="E32" i="6"/>
  <c r="E37" i="6" s="1"/>
  <c r="G25" i="6"/>
  <c r="S21" i="6"/>
  <c r="T21" i="6"/>
  <c r="J25" i="6"/>
  <c r="I47" i="7"/>
  <c r="H48" i="7"/>
  <c r="D47" i="7"/>
  <c r="D46" i="7"/>
  <c r="D68" i="7"/>
  <c r="D55" i="6"/>
  <c r="AB44" i="5"/>
  <c r="H58" i="5" s="1"/>
  <c r="M30" i="5"/>
  <c r="M35" i="5" s="1"/>
  <c r="AA30" i="5"/>
  <c r="W70" i="5" l="1"/>
  <c r="V75" i="5"/>
  <c r="W75" i="5" s="1"/>
  <c r="F85" i="7"/>
  <c r="F86" i="7"/>
  <c r="D77" i="6"/>
  <c r="J88" i="6" s="1"/>
  <c r="T88" i="6" s="1"/>
  <c r="D81" i="7"/>
  <c r="AB58" i="5"/>
  <c r="H81" i="7" s="1"/>
  <c r="D71" i="5"/>
  <c r="I71" i="5" s="1"/>
  <c r="E60" i="7"/>
  <c r="E59" i="7"/>
  <c r="R43" i="5"/>
  <c r="L35" i="5"/>
  <c r="N30" i="5"/>
  <c r="O30" i="5" s="1"/>
  <c r="AB30" i="5" s="1"/>
  <c r="AA35" i="5"/>
  <c r="Y35" i="5"/>
  <c r="G43" i="5"/>
  <c r="X43" i="5" s="1"/>
  <c r="Z43" i="5" s="1"/>
  <c r="Z48" i="5" s="1"/>
  <c r="G32" i="6"/>
  <c r="G37" i="6" s="1"/>
  <c r="G54" i="7"/>
  <c r="H68" i="7"/>
  <c r="I68" i="7" s="1"/>
  <c r="H55" i="6"/>
  <c r="I55" i="6" s="1"/>
  <c r="X56" i="6" s="1"/>
  <c r="J66" i="6"/>
  <c r="T66" i="6" s="1"/>
  <c r="M66" i="6"/>
  <c r="U66" i="6" s="1"/>
  <c r="G66" i="6"/>
  <c r="S66" i="6" s="1"/>
  <c r="D66" i="6"/>
  <c r="J35" i="5"/>
  <c r="R48" i="5" l="1"/>
  <c r="S48" i="5" s="1"/>
  <c r="E62" i="5" s="1"/>
  <c r="P62" i="5" s="1"/>
  <c r="Q62" i="5" s="1"/>
  <c r="F93" i="7"/>
  <c r="F98" i="6"/>
  <c r="F103" i="6" s="1"/>
  <c r="D88" i="6"/>
  <c r="R88" i="6" s="1"/>
  <c r="G88" i="6"/>
  <c r="S88" i="6" s="1"/>
  <c r="M88" i="6"/>
  <c r="U88" i="6" s="1"/>
  <c r="I81" i="7"/>
  <c r="H71" i="5"/>
  <c r="H77" i="6"/>
  <c r="I77" i="6" s="1"/>
  <c r="X78" i="6" s="1"/>
  <c r="K71" i="5"/>
  <c r="M71" i="5" s="1"/>
  <c r="N71" i="5" s="1"/>
  <c r="O71" i="5" s="1"/>
  <c r="D94" i="7" s="1"/>
  <c r="S43" i="5"/>
  <c r="E57" i="5" s="1"/>
  <c r="P57" i="5" s="1"/>
  <c r="N35" i="5"/>
  <c r="O35" i="5" s="1"/>
  <c r="D48" i="5" s="1"/>
  <c r="I48" i="5" s="1"/>
  <c r="H54" i="7"/>
  <c r="H32" i="6"/>
  <c r="H37" i="6" s="1"/>
  <c r="H43" i="5"/>
  <c r="G59" i="7"/>
  <c r="G60" i="7"/>
  <c r="G48" i="5"/>
  <c r="X48" i="5" s="1"/>
  <c r="O66" i="6"/>
  <c r="R66" i="6"/>
  <c r="N43" i="6"/>
  <c r="N47" i="6" s="1"/>
  <c r="U47" i="6" s="1"/>
  <c r="X37" i="6"/>
  <c r="H43" i="6"/>
  <c r="H47" i="6" s="1"/>
  <c r="S47" i="6" s="1"/>
  <c r="K43" i="6"/>
  <c r="K47" i="6" s="1"/>
  <c r="T47" i="6" s="1"/>
  <c r="E43" i="6"/>
  <c r="E47" i="6" s="1"/>
  <c r="R47" i="6" s="1"/>
  <c r="D54" i="7"/>
  <c r="D43" i="5"/>
  <c r="I43" i="5" s="1"/>
  <c r="D32" i="6"/>
  <c r="D37" i="6" s="1"/>
  <c r="AA43" i="5"/>
  <c r="G57" i="5" s="1"/>
  <c r="X57" i="5" s="1"/>
  <c r="Z57" i="5" s="1"/>
  <c r="R57" i="5" l="1"/>
  <c r="R62" i="5" s="1"/>
  <c r="S62" i="5" s="1"/>
  <c r="E75" i="5" s="1"/>
  <c r="P75" i="5" s="1"/>
  <c r="Q75" i="5" s="1"/>
  <c r="F99" i="7"/>
  <c r="F98" i="7"/>
  <c r="O88" i="6"/>
  <c r="I111" i="7"/>
  <c r="K106" i="7"/>
  <c r="I106" i="7"/>
  <c r="K111" i="7"/>
  <c r="AB71" i="5"/>
  <c r="D99" i="6"/>
  <c r="AA57" i="5"/>
  <c r="Z62" i="5"/>
  <c r="E54" i="6"/>
  <c r="E59" i="6" s="1"/>
  <c r="E67" i="7"/>
  <c r="AA48" i="5"/>
  <c r="G62" i="5" s="1"/>
  <c r="X62" i="5" s="1"/>
  <c r="AB35" i="5"/>
  <c r="H48" i="5" s="1"/>
  <c r="Y48" i="5"/>
  <c r="I32" i="6"/>
  <c r="X33" i="6" s="1"/>
  <c r="G43" i="6"/>
  <c r="D43" i="6"/>
  <c r="M43" i="6"/>
  <c r="J43" i="6"/>
  <c r="I54" i="7"/>
  <c r="H59" i="7"/>
  <c r="I59" i="7" s="1"/>
  <c r="H60" i="7"/>
  <c r="K43" i="5"/>
  <c r="G67" i="7"/>
  <c r="G54" i="6"/>
  <c r="G59" i="6" s="1"/>
  <c r="X59" i="6" s="1"/>
  <c r="D59" i="7"/>
  <c r="D60" i="7"/>
  <c r="S57" i="5" l="1"/>
  <c r="E76" i="6" s="1"/>
  <c r="E81" i="6" s="1"/>
  <c r="E73" i="7"/>
  <c r="E72" i="7"/>
  <c r="H99" i="6"/>
  <c r="I99" i="6" s="1"/>
  <c r="X100" i="6" s="1"/>
  <c r="H94" i="7"/>
  <c r="G73" i="7"/>
  <c r="G72" i="7"/>
  <c r="G80" i="7"/>
  <c r="G76" i="6"/>
  <c r="K112" i="7"/>
  <c r="I112" i="7"/>
  <c r="J110" i="6"/>
  <c r="T110" i="6" s="1"/>
  <c r="G110" i="6"/>
  <c r="S110" i="6" s="1"/>
  <c r="M110" i="6"/>
  <c r="U110" i="6" s="1"/>
  <c r="D110" i="6"/>
  <c r="Y62" i="5"/>
  <c r="AA62" i="5"/>
  <c r="G75" i="5" s="1"/>
  <c r="X75" i="5" s="1"/>
  <c r="M43" i="5"/>
  <c r="M48" i="5" s="1"/>
  <c r="K48" i="5"/>
  <c r="G70" i="5"/>
  <c r="X70" i="5" s="1"/>
  <c r="Z70" i="5" s="1"/>
  <c r="T43" i="6"/>
  <c r="J47" i="6"/>
  <c r="M47" i="6"/>
  <c r="U43" i="6"/>
  <c r="I60" i="7"/>
  <c r="H61" i="7"/>
  <c r="H113" i="7" s="1"/>
  <c r="G47" i="6"/>
  <c r="S43" i="6"/>
  <c r="N65" i="6"/>
  <c r="N69" i="6" s="1"/>
  <c r="U69" i="6" s="1"/>
  <c r="E65" i="6"/>
  <c r="E69" i="6" s="1"/>
  <c r="R69" i="6" s="1"/>
  <c r="K65" i="6"/>
  <c r="K69" i="6" s="1"/>
  <c r="T69" i="6" s="1"/>
  <c r="H65" i="6"/>
  <c r="H69" i="6" s="1"/>
  <c r="S69" i="6" s="1"/>
  <c r="D47" i="6"/>
  <c r="R43" i="6"/>
  <c r="O43" i="6"/>
  <c r="O47" i="6" s="1"/>
  <c r="E70" i="5" l="1"/>
  <c r="P70" i="5" s="1"/>
  <c r="R70" i="5" s="1"/>
  <c r="R75" i="5" s="1"/>
  <c r="S75" i="5" s="1"/>
  <c r="E80" i="7"/>
  <c r="E86" i="7" s="1"/>
  <c r="J107" i="7"/>
  <c r="L107" i="7"/>
  <c r="I94" i="7"/>
  <c r="E87" i="6"/>
  <c r="E91" i="6" s="1"/>
  <c r="R91" i="6" s="1"/>
  <c r="G81" i="6"/>
  <c r="X81" i="6" s="1"/>
  <c r="H87" i="6"/>
  <c r="H91" i="6" s="1"/>
  <c r="S91" i="6" s="1"/>
  <c r="N87" i="6"/>
  <c r="N91" i="6" s="1"/>
  <c r="U91" i="6" s="1"/>
  <c r="K87" i="6"/>
  <c r="K91" i="6" s="1"/>
  <c r="T91" i="6" s="1"/>
  <c r="G85" i="7"/>
  <c r="G86" i="7"/>
  <c r="R110" i="6"/>
  <c r="O110" i="6"/>
  <c r="L48" i="5"/>
  <c r="N43" i="5"/>
  <c r="Z75" i="5"/>
  <c r="AA75" i="5" s="1"/>
  <c r="AA70" i="5"/>
  <c r="N48" i="5"/>
  <c r="O48" i="5" s="1"/>
  <c r="J48" i="5"/>
  <c r="O43" i="5" l="1"/>
  <c r="D57" i="5" s="1"/>
  <c r="I57" i="5" s="1"/>
  <c r="E85" i="7"/>
  <c r="S70" i="5"/>
  <c r="E98" i="6" s="1"/>
  <c r="E103" i="6" s="1"/>
  <c r="E93" i="7"/>
  <c r="G98" i="6"/>
  <c r="G93" i="7"/>
  <c r="Y75" i="5"/>
  <c r="AB48" i="5"/>
  <c r="H62" i="5" s="1"/>
  <c r="D62" i="5"/>
  <c r="I62" i="5" s="1"/>
  <c r="AB43" i="5" l="1"/>
  <c r="H57" i="5" s="1"/>
  <c r="D54" i="6"/>
  <c r="J65" i="6" s="1"/>
  <c r="T65" i="6" s="1"/>
  <c r="D67" i="7"/>
  <c r="D73" i="7" s="1"/>
  <c r="K57" i="5"/>
  <c r="K62" i="5" s="1"/>
  <c r="J62" i="5" s="1"/>
  <c r="E99" i="7"/>
  <c r="E98" i="7"/>
  <c r="G98" i="7"/>
  <c r="G99" i="7"/>
  <c r="N109" i="6"/>
  <c r="N113" i="6" s="1"/>
  <c r="U113" i="6" s="1"/>
  <c r="K109" i="6"/>
  <c r="K113" i="6" s="1"/>
  <c r="T113" i="6" s="1"/>
  <c r="E109" i="6"/>
  <c r="E113" i="6" s="1"/>
  <c r="R113" i="6" s="1"/>
  <c r="G103" i="6"/>
  <c r="X103" i="6" s="1"/>
  <c r="H109" i="6"/>
  <c r="H113" i="6" s="1"/>
  <c r="S113" i="6" s="1"/>
  <c r="H67" i="7" l="1"/>
  <c r="I67" i="7" s="1"/>
  <c r="M65" i="6"/>
  <c r="M69" i="6" s="1"/>
  <c r="H54" i="6"/>
  <c r="H59" i="6" s="1"/>
  <c r="D65" i="6"/>
  <c r="D69" i="6" s="1"/>
  <c r="G65" i="6"/>
  <c r="S65" i="6" s="1"/>
  <c r="D59" i="6"/>
  <c r="D72" i="7"/>
  <c r="M57" i="5"/>
  <c r="J69" i="6"/>
  <c r="H73" i="7" l="1"/>
  <c r="H74" i="7" s="1"/>
  <c r="U65" i="6"/>
  <c r="I54" i="6"/>
  <c r="X55" i="6" s="1"/>
  <c r="H72" i="7"/>
  <c r="I72" i="7" s="1"/>
  <c r="R65" i="6"/>
  <c r="O65" i="6"/>
  <c r="O69" i="6" s="1"/>
  <c r="G69" i="6"/>
  <c r="M62" i="5"/>
  <c r="N57" i="5"/>
  <c r="O57" i="5" s="1"/>
  <c r="I73" i="7" l="1"/>
  <c r="L62" i="5"/>
  <c r="N62" i="5"/>
  <c r="O62" i="5" s="1"/>
  <c r="D80" i="7"/>
  <c r="AB57" i="5"/>
  <c r="D70" i="5"/>
  <c r="I70" i="5" s="1"/>
  <c r="D76" i="6"/>
  <c r="K70" i="5" l="1"/>
  <c r="H80" i="7"/>
  <c r="H70" i="5"/>
  <c r="H76" i="6"/>
  <c r="D85" i="7"/>
  <c r="D86" i="7"/>
  <c r="G87" i="6"/>
  <c r="D81" i="6"/>
  <c r="M87" i="6"/>
  <c r="J87" i="6"/>
  <c r="D87" i="6"/>
  <c r="D75" i="5"/>
  <c r="I75" i="5" s="1"/>
  <c r="AB62" i="5"/>
  <c r="H75" i="5" s="1"/>
  <c r="G91" i="6" l="1"/>
  <c r="S87" i="6"/>
  <c r="T87" i="6"/>
  <c r="J91" i="6"/>
  <c r="K75" i="5"/>
  <c r="M91" i="6"/>
  <c r="U87" i="6"/>
  <c r="H86" i="7"/>
  <c r="I80" i="7"/>
  <c r="H85" i="7"/>
  <c r="I85" i="7" s="1"/>
  <c r="R87" i="6"/>
  <c r="D91" i="6"/>
  <c r="O87" i="6"/>
  <c r="O91" i="6" s="1"/>
  <c r="I76" i="6"/>
  <c r="X77" i="6" s="1"/>
  <c r="H81" i="6"/>
  <c r="M70" i="5"/>
  <c r="M75" i="5" s="1"/>
  <c r="L75" i="5" l="1"/>
  <c r="N70" i="5"/>
  <c r="O70" i="5" s="1"/>
  <c r="D93" i="7" s="1"/>
  <c r="J75" i="5"/>
  <c r="N75" i="5"/>
  <c r="O75" i="5" s="1"/>
  <c r="AB75" i="5" s="1"/>
  <c r="H87" i="7"/>
  <c r="I86" i="7"/>
  <c r="D98" i="6" l="1"/>
  <c r="G109" i="6" s="1"/>
  <c r="AB70" i="5"/>
  <c r="H93" i="7" s="1"/>
  <c r="D99" i="7"/>
  <c r="D98" i="7"/>
  <c r="D109" i="6" l="1"/>
  <c r="R109" i="6" s="1"/>
  <c r="D103" i="6"/>
  <c r="J109" i="6"/>
  <c r="J113" i="6" s="1"/>
  <c r="M109" i="6"/>
  <c r="M113" i="6" s="1"/>
  <c r="H98" i="6"/>
  <c r="I98" i="6" s="1"/>
  <c r="X99" i="6" s="1"/>
  <c r="G113" i="6"/>
  <c r="S109" i="6"/>
  <c r="L106" i="7"/>
  <c r="H98" i="7"/>
  <c r="I98" i="7" s="1"/>
  <c r="I93" i="7"/>
  <c r="J111" i="7"/>
  <c r="J106" i="7"/>
  <c r="L111" i="7"/>
  <c r="H99" i="7"/>
  <c r="U109" i="6" l="1"/>
  <c r="D113" i="6"/>
  <c r="O109" i="6"/>
  <c r="O113" i="6" s="1"/>
  <c r="T109" i="6"/>
  <c r="H103" i="6"/>
  <c r="I99" i="7"/>
  <c r="J112" i="7"/>
  <c r="H100" i="7"/>
  <c r="H114" i="7" s="1"/>
  <c r="L112" i="7"/>
</calcChain>
</file>

<file path=xl/sharedStrings.xml><?xml version="1.0" encoding="utf-8"?>
<sst xmlns="http://schemas.openxmlformats.org/spreadsheetml/2006/main" count="2167" uniqueCount="611">
  <si>
    <t>Row # / Column Letter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</si>
  <si>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</si>
  <si>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</si>
  <si>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</si>
  <si>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</si>
  <si>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</si>
  <si>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</si>
  <si>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</si>
  <si>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</si>
  <si>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</si>
  <si>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</si>
  <si>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</si>
  <si>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</si>
  <si>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</si>
  <si>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Medicaid Eligibility Group (MEG)</t>
  </si>
  <si>
    <t>Projected Year 1</t>
  </si>
  <si>
    <t>Projected Year 2</t>
  </si>
  <si>
    <t>Total Projected</t>
  </si>
  <si>
    <t>(P1)</t>
  </si>
  <si>
    <t>(P2)</t>
  </si>
  <si>
    <t>(D+E)</t>
  </si>
  <si>
    <t>Total Member Months</t>
  </si>
  <si>
    <t>Quarterly % Increase</t>
  </si>
  <si>
    <t>State Plan Services</t>
  </si>
  <si>
    <t>All MEGS</t>
  </si>
  <si>
    <t>Service Category</t>
  </si>
  <si>
    <t xml:space="preserve">State Plan </t>
  </si>
  <si>
    <t>1915(b)(3)</t>
  </si>
  <si>
    <t>PIHP</t>
  </si>
  <si>
    <t>Approved</t>
  </si>
  <si>
    <t>Services</t>
  </si>
  <si>
    <t>Capitated</t>
  </si>
  <si>
    <t>Reimbursement</t>
  </si>
  <si>
    <t>X</t>
  </si>
  <si>
    <t>O</t>
  </si>
  <si>
    <t xml:space="preserve">MCO/PIHP </t>
  </si>
  <si>
    <t xml:space="preserve">1915(b)(3) </t>
  </si>
  <si>
    <t xml:space="preserve">Administration </t>
  </si>
  <si>
    <t>Medicaid Eligibility Group</t>
  </si>
  <si>
    <t xml:space="preserve">service costs </t>
  </si>
  <si>
    <t>(MEG)</t>
  </si>
  <si>
    <t>Member</t>
  </si>
  <si>
    <t xml:space="preserve">or PCCM Case </t>
  </si>
  <si>
    <t>Fee-for-Service</t>
  </si>
  <si>
    <t>State Plan</t>
  </si>
  <si>
    <t xml:space="preserve">(provide </t>
  </si>
  <si>
    <t xml:space="preserve">Total Actual </t>
  </si>
  <si>
    <t>Incentive</t>
  </si>
  <si>
    <t>Administration</t>
  </si>
  <si>
    <t>Total Actual</t>
  </si>
  <si>
    <t>Months</t>
  </si>
  <si>
    <t>Management Fees</t>
  </si>
  <si>
    <t>Costs</t>
  </si>
  <si>
    <t>Service Costs</t>
  </si>
  <si>
    <t xml:space="preserve"> provide documentation)</t>
  </si>
  <si>
    <t>documentation)</t>
  </si>
  <si>
    <t>schedule categories)</t>
  </si>
  <si>
    <t>Waiver Costs</t>
  </si>
  <si>
    <t>(F+G+H+I)</t>
  </si>
  <si>
    <t>(F/C)</t>
  </si>
  <si>
    <t>(G/C)</t>
  </si>
  <si>
    <t>(H/C)</t>
  </si>
  <si>
    <t>(I/C)</t>
  </si>
  <si>
    <t>(J/C)</t>
  </si>
  <si>
    <t>Total</t>
  </si>
  <si>
    <t>* If a change please note</t>
  </si>
  <si>
    <t>Adjustments to the Waiver Cost Projection</t>
  </si>
  <si>
    <t>Adjustments Made</t>
  </si>
  <si>
    <t>Location of Adjustment</t>
  </si>
  <si>
    <t>State Plan Trend</t>
  </si>
  <si>
    <t xml:space="preserve">State Plan Programmatic/policy/pricing changes </t>
  </si>
  <si>
    <t>Administrative Cost Adjustment</t>
  </si>
  <si>
    <t>1915(b)(3) service Trend</t>
  </si>
  <si>
    <t>Incentives (not in cap payment) Adjustments</t>
  </si>
  <si>
    <t xml:space="preserve">Other </t>
  </si>
  <si>
    <t>P</t>
  </si>
  <si>
    <t>Q</t>
  </si>
  <si>
    <t>R</t>
  </si>
  <si>
    <t>S</t>
  </si>
  <si>
    <t>T</t>
  </si>
  <si>
    <t>U</t>
  </si>
  <si>
    <t>V</t>
  </si>
  <si>
    <t>W</t>
  </si>
  <si>
    <t>Y</t>
  </si>
  <si>
    <t>Z</t>
  </si>
  <si>
    <t>AA</t>
  </si>
  <si>
    <t>AB</t>
  </si>
  <si>
    <t>Actual Waiver Cost Conversion Renewal Comprehensive Version</t>
  </si>
  <si>
    <t>Note: Complete this Appendix for all Prospective Years</t>
  </si>
  <si>
    <t>Waiver Cost Projection</t>
  </si>
  <si>
    <t>PMPM Effect of</t>
  </si>
  <si>
    <t>Program Adjustment</t>
  </si>
  <si>
    <t>Aggregate PMPM</t>
  </si>
  <si>
    <t>Total P1 PMPM</t>
  </si>
  <si>
    <t>Incentive Cost</t>
  </si>
  <si>
    <t>1915(b)(3) Service Costs</t>
  </si>
  <si>
    <t>Administration Costs</t>
  </si>
  <si>
    <t>Inflation Adjustment</t>
  </si>
  <si>
    <t>Inflation</t>
  </si>
  <si>
    <t>[Enter Description</t>
  </si>
  <si>
    <t>Program</t>
  </si>
  <si>
    <t>Effect of State</t>
  </si>
  <si>
    <t>State Plan Service</t>
  </si>
  <si>
    <t>1915(b)(3) Service</t>
  </si>
  <si>
    <t>Administration Cost</t>
  </si>
  <si>
    <t>Projected</t>
  </si>
  <si>
    <t>Member Months</t>
  </si>
  <si>
    <t>Service Costs*</t>
  </si>
  <si>
    <t>Costs*</t>
  </si>
  <si>
    <t>Waiver Costs*</t>
  </si>
  <si>
    <t>(Annual Year 1)</t>
  </si>
  <si>
    <t>Adjustment</t>
  </si>
  <si>
    <t>Here]</t>
  </si>
  <si>
    <t>Plan Service Adj.</t>
  </si>
  <si>
    <t>Cost Projection</t>
  </si>
  <si>
    <t>Projection</t>
  </si>
  <si>
    <t>(Preprint Explains)</t>
  </si>
  <si>
    <t>(IxJ)</t>
  </si>
  <si>
    <t>(K+M)</t>
  </si>
  <si>
    <t>(I+N)</t>
  </si>
  <si>
    <t>(PxQ)</t>
  </si>
  <si>
    <t>(P+R)</t>
  </si>
  <si>
    <t>(T+V)</t>
  </si>
  <si>
    <t>(XxY)</t>
  </si>
  <si>
    <t>(X+Z)</t>
  </si>
  <si>
    <t xml:space="preserve">Total </t>
  </si>
  <si>
    <t>P1 Per Member Per Month (PMPM) Costs</t>
  </si>
  <si>
    <t>P1 PMPM</t>
  </si>
  <si>
    <t>Total P2 PMPM</t>
  </si>
  <si>
    <t xml:space="preserve"> </t>
  </si>
  <si>
    <t>(Annual Year 2)</t>
  </si>
  <si>
    <t>(same as O13-O18)</t>
  </si>
  <si>
    <t>(same as S13-S18)</t>
  </si>
  <si>
    <t>(same as AA13-AA18)</t>
  </si>
  <si>
    <t>(same as AB13-AB18)</t>
  </si>
  <si>
    <t>(O+S+W+AA)</t>
  </si>
  <si>
    <t>Q1 Quarterly Projected Costs</t>
  </si>
  <si>
    <t>Q2 Quarterly Projected Costs</t>
  </si>
  <si>
    <t>Q3 Quarterly Projected Costs</t>
  </si>
  <si>
    <t>Q4 Quarterly Projected Costs</t>
  </si>
  <si>
    <t>Medicaid</t>
  </si>
  <si>
    <t>Year 1</t>
  </si>
  <si>
    <t>Total PMPM</t>
  </si>
  <si>
    <t>Eligibility Group</t>
  </si>
  <si>
    <t>Projections</t>
  </si>
  <si>
    <t xml:space="preserve"> include incentives</t>
  </si>
  <si>
    <t>Q5 Quarterly Projected Costs</t>
  </si>
  <si>
    <t>Q6 Quarterly Projected Costs</t>
  </si>
  <si>
    <t>Q7 Quarterly Projected Costs</t>
  </si>
  <si>
    <t>Q8 Quarterly Projected Costs</t>
  </si>
  <si>
    <t>Year 2</t>
  </si>
  <si>
    <t xml:space="preserve">Overall </t>
  </si>
  <si>
    <t>(annual)</t>
  </si>
  <si>
    <t>Overall</t>
  </si>
  <si>
    <t>P1 to P2 Change</t>
  </si>
  <si>
    <t>(annualized)</t>
  </si>
  <si>
    <r>
      <t xml:space="preserve">Instructions: </t>
    </r>
    <r>
      <rPr>
        <sz val="10"/>
        <rFont val="Arial"/>
        <family val="2"/>
      </rPr>
      <t>Modify columns as applicable to the waiver entity type and structure to note services in different MEGs.</t>
    </r>
  </si>
  <si>
    <r>
      <t xml:space="preserve">* </t>
    </r>
    <r>
      <rPr>
        <sz val="10"/>
        <rFont val="Arial"/>
        <family val="2"/>
      </rPr>
      <t xml:space="preserve">Please note with a * if there are any proposed changes. </t>
    </r>
  </si>
  <si>
    <t>Capitated Costs</t>
  </si>
  <si>
    <t>(Including incentives and risksharing payouts/withholds)</t>
  </si>
  <si>
    <t>(Attach list using CMS 64.10 Waiver</t>
  </si>
  <si>
    <t>FFS Incentive</t>
  </si>
  <si>
    <t>(Same as D13-D18)</t>
  </si>
  <si>
    <t>(same as W13-W18)</t>
  </si>
  <si>
    <t>(Same as G13-G18)</t>
  </si>
  <si>
    <t>(TxU)</t>
  </si>
  <si>
    <t>(Same as F13-F18)</t>
  </si>
  <si>
    <t>(Same as E13-E18)</t>
  </si>
  <si>
    <t xml:space="preserve">** If additional columns are needed in order to identify all of the adjustments being made, please insert the appropriate number of columns and label them accordingly.  </t>
  </si>
  <si>
    <t>P2 PMPM</t>
  </si>
  <si>
    <t>Services in Actual Waiver Cost (Comprehensive and Expedited)</t>
  </si>
  <si>
    <t>Adjustments and Services in Waiver Cost Projection (Comprehensive and Expedited)</t>
  </si>
  <si>
    <t>P1 Projected PMPM Costs (Totals weighted on Projected Year 1 Member Months)</t>
  </si>
  <si>
    <t>P2 Projected PMPM Costs (Totals weighted on Projected Year 2 Member Months)</t>
  </si>
  <si>
    <t>Total P1 Projected</t>
  </si>
  <si>
    <t>Total P2 Projected</t>
  </si>
  <si>
    <t>(not included in capitation rates,</t>
  </si>
  <si>
    <t>((I+K)xL)</t>
  </si>
  <si>
    <t>Projected Quarter 1</t>
  </si>
  <si>
    <t>Projected Quarter 2</t>
  </si>
  <si>
    <t>Projected Quarter 3</t>
  </si>
  <si>
    <t>Projected Quarter 4</t>
  </si>
  <si>
    <t>Projected Quarter 5</t>
  </si>
  <si>
    <t>Projected Quarter 6</t>
  </si>
  <si>
    <t>Projected Quarter 7</t>
  </si>
  <si>
    <t>Projected Quarter 8</t>
  </si>
  <si>
    <t>Prospective Year 1 (P1) Projection for State Plan Services**</t>
  </si>
  <si>
    <t>Prospective Year 2 (P2) Projection for State Plan Services**</t>
  </si>
  <si>
    <t>P1 Projection for Incentive Costs not Included in Capitation Rates**</t>
  </si>
  <si>
    <t>P2 Projection for Incentive Costs not Included in Capitation Rates**</t>
  </si>
  <si>
    <t>P1 Projection for 1915(b)(3) Service Costs**</t>
  </si>
  <si>
    <t>P2 Projection for 1915(b)(3) Service Costs**</t>
  </si>
  <si>
    <t>P1 Projection for Administration Costs**</t>
  </si>
  <si>
    <t>P2 Projection for Administration Costs**</t>
  </si>
  <si>
    <t xml:space="preserve">* For comprehensive waivers, Columns D, E, F, G and H are columns K, L, M, N, and O from the Actual Waiver Cost Spreadsheet D3. For expedited waivers, sum the CMS-64.9 WAV and 64.21UWAV forms and divide by the member months for column D.  </t>
  </si>
  <si>
    <t>Sum the CMS 64.10 WAV forms and divide by the member months for Column G. Sum D+G for Column H.</t>
  </si>
  <si>
    <t xml:space="preserve">Waiver Costs </t>
  </si>
  <si>
    <t>Year 1 and 2</t>
  </si>
  <si>
    <t>(P1 +P2)</t>
  </si>
  <si>
    <t>Retrospective Year 1 (R1)</t>
  </si>
  <si>
    <t>Retrospective Year 2 (R2)</t>
  </si>
  <si>
    <t>Renewal Waiver</t>
  </si>
  <si>
    <t>Actual Waiver Cost Renewal Comprehensive Version</t>
  </si>
  <si>
    <t>Waiver Cost Projection Renewal Waiver Comprehensive Version</t>
  </si>
  <si>
    <t>R2 Per Member Per Month (PMPM) Costs</t>
  </si>
  <si>
    <t>Quarterly CMS Targets for RO CMS-64 Review Renewal</t>
  </si>
  <si>
    <t>Cost Effectiveness Summary Sheet Renewal Waiver</t>
  </si>
  <si>
    <t>R2</t>
  </si>
  <si>
    <t>R2 PMPM</t>
  </si>
  <si>
    <t>R2 to P1 Change</t>
  </si>
  <si>
    <t>R1</t>
  </si>
  <si>
    <t>R1 PMPM</t>
  </si>
  <si>
    <t>R1 Per Member Per Month (PMPM) Costs</t>
  </si>
  <si>
    <t>Retrospective Year 2 (R2) Aggregate Costs</t>
  </si>
  <si>
    <t>Retrospective Year 1 (R1) Aggregate Costs</t>
  </si>
  <si>
    <t>Total R1 Expenditures</t>
  </si>
  <si>
    <t>Total R2 Expenditures</t>
  </si>
  <si>
    <t>Retrospective Period</t>
  </si>
  <si>
    <t>Prospective Period</t>
  </si>
  <si>
    <t>R1 to P2 Change</t>
  </si>
  <si>
    <t>R1 to R2 Change</t>
  </si>
  <si>
    <t>Retrospective</t>
  </si>
  <si>
    <t>Year 2 (R2)</t>
  </si>
  <si>
    <t>from the prior waiver submission to the retrospective years of the current waiver submission.</t>
  </si>
  <si>
    <t>Costs to be input below are from the prior waiver submission. Compare the prospective years</t>
  </si>
  <si>
    <t>P2 Per Member Per Month (PMPM) Costs from the prior waiver submission</t>
  </si>
  <si>
    <t>Administration in Actual Waiver Cost (Comprehensive and Expedited)</t>
  </si>
  <si>
    <r>
      <t xml:space="preserve">Instructions: </t>
    </r>
    <r>
      <rPr>
        <sz val="10"/>
        <rFont val="Arial"/>
        <family val="2"/>
      </rPr>
      <t>Modify columns as applicable to the waiver entity type and structure to note administration in different MEGs, etc.</t>
    </r>
  </si>
  <si>
    <t>CMS 64.10 line Item</t>
  </si>
  <si>
    <t>CMS 64.10 Explanation</t>
  </si>
  <si>
    <t>Contract</t>
  </si>
  <si>
    <t>Match Rate</t>
  </si>
  <si>
    <t>75% FFP</t>
  </si>
  <si>
    <t>50% FFP</t>
  </si>
  <si>
    <t xml:space="preserve">Total Difference between Projections and Actual Waiver Cost for Previous Waiver Period </t>
  </si>
  <si>
    <t xml:space="preserve">Projection for Upcoming Waiver Period </t>
  </si>
  <si>
    <t>64.10 Waiver</t>
  </si>
  <si>
    <t xml:space="preserve">64.9W /64.21U W </t>
  </si>
  <si>
    <t>64.10 Waiver Form</t>
  </si>
  <si>
    <t>64.9 Waiver Form</t>
  </si>
  <si>
    <t>Waiver Form</t>
  </si>
  <si>
    <t>Quarterly CMS Targets for RO Cost-Effectiveness Monitoring</t>
  </si>
  <si>
    <t>Worksheet for RO PMPM Cost-Effectiveness Monitoring</t>
  </si>
  <si>
    <t>Projections for RO CMS-64 Certification - Aggregate Cost</t>
  </si>
  <si>
    <t>Actuals</t>
  </si>
  <si>
    <t>Waiver Form Costs</t>
  </si>
  <si>
    <t xml:space="preserve">Projected </t>
  </si>
  <si>
    <t xml:space="preserve">Aggregate </t>
  </si>
  <si>
    <t>PMPM Costs</t>
  </si>
  <si>
    <t>Actual</t>
  </si>
  <si>
    <t>Q1 Quarterly Actual Costs</t>
  </si>
  <si>
    <t>Q2 Quarterly Actual Costs</t>
  </si>
  <si>
    <t>Q3 Quarterly Actual Costs</t>
  </si>
  <si>
    <t>Q4 Quarterly Actual Costs</t>
  </si>
  <si>
    <t>Q5 Quarterly Actual Costs</t>
  </si>
  <si>
    <t>Q6 Quarterly Actual Costs</t>
  </si>
  <si>
    <t>Q7 Quarterly Actual Costs</t>
  </si>
  <si>
    <t>Q8 Quarterly Actual Costs</t>
  </si>
  <si>
    <t>RO Completion Section - For ongoing monitoring</t>
  </si>
  <si>
    <t>Total Previous Waiver Period Expenditures (Casemix for R1 and R2)</t>
  </si>
  <si>
    <t>P1 Projected PMPM</t>
  </si>
  <si>
    <t>State Completion Section - For Waiver Submission</t>
  </si>
  <si>
    <t>From Column G (Administration)</t>
  </si>
  <si>
    <t>(Column H-G)</t>
  </si>
  <si>
    <t>From Column I (services)</t>
  </si>
  <si>
    <t xml:space="preserve">AC </t>
  </si>
  <si>
    <t>AD</t>
  </si>
  <si>
    <t>AE</t>
  </si>
  <si>
    <t>AF</t>
  </si>
  <si>
    <t>AG</t>
  </si>
  <si>
    <t>AH</t>
  </si>
  <si>
    <t>AI</t>
  </si>
  <si>
    <t xml:space="preserve">P1 Projected PMPM Costs from Appendix D5 (Totals weighted on Projected Year 1 Member Months) </t>
  </si>
  <si>
    <t>P2 Projected PMPM Costs from Appendix D5 (Totals weighted on Projected Year 2 Member Months)</t>
  </si>
  <si>
    <t>R2 Weighted Average PMPM Casemix for R1 (R1 MMs)</t>
  </si>
  <si>
    <t>P1 Weighted Average PMPM Casemix for R2 (R2 MMs)</t>
  </si>
  <si>
    <t>P1 Weighted Average PMPM Casemix for P1 (P1 MMs)</t>
  </si>
  <si>
    <t>P2 Weighted Average PMPM Casemix for P1 (P1 MMs)</t>
  </si>
  <si>
    <t>P2 Weighted Average PMPM Casemix for P2 (P2 MMs)</t>
  </si>
  <si>
    <t>Note: The States completing the Expedited Test will only attach the most recent waiver Schedule D,
and the corresponding quarters of waiver forms from the CMS-64.9 Waiver and CMS-64.21U Waiver and CMS 64.10 Waiver.
Completion of this Appendix is not necessary for expedited waivers.</t>
  </si>
  <si>
    <t>Note: The States completing the Comprehensive Test will attach the most recent waiver Schedule D,
and the corresponding quarters of waiver forms from the CMS-64.9 Waiver and CMS-64.21U Waiver and CMS 64.10 Waiver.
Completion of this Appendix is required for Comprehensive Waivers.</t>
  </si>
  <si>
    <t>(Same as D30-D35)</t>
  </si>
  <si>
    <t>(Same as E30-E35)</t>
  </si>
  <si>
    <t>(Same as F30-F35)</t>
  </si>
  <si>
    <t>(Same as G30-G35)</t>
  </si>
  <si>
    <t>R1 Overall PMPM Casemix for R1 (R1 MMs)</t>
  </si>
  <si>
    <t>P1 PMPM Casemix for R2 (R2 MMs)</t>
  </si>
  <si>
    <t>P2 PMPM Casemix for R2 (R2 MMs)</t>
  </si>
  <si>
    <t>R2 OVerall PMPM Casemix for R2 (R2 MMs)</t>
  </si>
  <si>
    <t>Modify Line items as necessary to fit the services of the program.</t>
  </si>
  <si>
    <t>Modify Line items as necessary to fit the MEGs of the program.</t>
  </si>
  <si>
    <t>State Completion Sections</t>
  </si>
  <si>
    <t>PMPM from previously approved waiver.</t>
  </si>
  <si>
    <t>FAMILY PLANNING</t>
  </si>
  <si>
    <t>90% FFP</t>
  </si>
  <si>
    <t xml:space="preserve">     B.  </t>
  </si>
  <si>
    <t xml:space="preserve">     C.  </t>
  </si>
  <si>
    <t xml:space="preserve">     B. </t>
  </si>
  <si>
    <t>THIRD PARTY LIABILITY RECOVERY PROCEDURE - BILLING OFFSET</t>
  </si>
  <si>
    <t>IMMIGRATION STATUS VERIFICATION SYSTEM COSTS</t>
  </si>
  <si>
    <t>100% FFP</t>
  </si>
  <si>
    <t xml:space="preserve"> NURSE AIDE TRAINING COSTS</t>
  </si>
  <si>
    <t>RESIDENT REVIEW ACTIVITIES COSTS</t>
  </si>
  <si>
    <t>DRUG USE REVIEW PROGRAM</t>
  </si>
  <si>
    <t>OUTSTATIONED ELIGIBILITY WORKERS</t>
  </si>
  <si>
    <t>14.</t>
  </si>
  <si>
    <t>TANF BASE</t>
  </si>
  <si>
    <t xml:space="preserve">15. </t>
  </si>
  <si>
    <t>TANF SECONDARY 90%</t>
  </si>
  <si>
    <t xml:space="preserve">16. </t>
  </si>
  <si>
    <t>TANF SECONDARY 75%</t>
  </si>
  <si>
    <t>17.</t>
  </si>
  <si>
    <t>EXTERNAL REVIEW</t>
  </si>
  <si>
    <t xml:space="preserve">18. </t>
  </si>
  <si>
    <t>ENROLLMENT BROKERS</t>
  </si>
  <si>
    <t>OTHER FINANCIAL PARTICIPATION</t>
  </si>
  <si>
    <t>Add multiple line items as necessary to fit the administration of the program (i.e. if you have more than one contract on line 19, detail the contracts separately).</t>
  </si>
  <si>
    <t>(monthly)</t>
  </si>
  <si>
    <t>To modify the formulas as necessary to fit the length of the program complete this section.  The formulas will automatically update given this data.</t>
  </si>
  <si>
    <t>Gap (end of R2 to P1)</t>
  </si>
  <si>
    <t>P1</t>
  </si>
  <si>
    <t>P2</t>
  </si>
  <si>
    <t>R2 Per Member Per Month (PMPM) Costs (Totals weighted on Retrospective Year 2 Member Months)</t>
  </si>
  <si>
    <t>Total Projected Waiver Expenditures P1(P1 MMs)</t>
  </si>
  <si>
    <t>Total Projected Waiver Expenditures P2 (P2 MMs)</t>
  </si>
  <si>
    <t xml:space="preserve">State: </t>
  </si>
  <si>
    <t>P1      =</t>
  </si>
  <si>
    <t>P2       =</t>
  </si>
  <si>
    <t xml:space="preserve">Actual Enrollment for the Time Period - </t>
  </si>
  <si>
    <t>through</t>
  </si>
  <si>
    <t>Estimated Member Month Calculations</t>
  </si>
  <si>
    <t>Enrollment Projections for the Time Period  -</t>
  </si>
  <si>
    <t>*Projections start on Quarter and include data for requested waiver period</t>
  </si>
  <si>
    <t>R2      =</t>
  </si>
  <si>
    <t>R1     =</t>
  </si>
  <si>
    <t>NUMBER OF DAYS OF DATA</t>
  </si>
  <si>
    <t>(Days-365)</t>
  </si>
  <si>
    <t>TOTAL R2 to P1</t>
  </si>
  <si>
    <t>TOTAL R2 to P2</t>
  </si>
  <si>
    <t>State:</t>
  </si>
  <si>
    <t>Use Quarter Starting Dates on Appendix D1.  Appendix D6 will automatically become Quarter Ending Dates to sync with CMS-64.</t>
  </si>
  <si>
    <t xml:space="preserve">2 Year </t>
  </si>
  <si>
    <t>5 Year</t>
  </si>
  <si>
    <t>Projected Quarter 9</t>
  </si>
  <si>
    <t>Projected Quarter 10</t>
  </si>
  <si>
    <t>Projected Quarter 11</t>
  </si>
  <si>
    <t>Projected Quarter 12</t>
  </si>
  <si>
    <t>Projected Year 3</t>
  </si>
  <si>
    <t>Projected Quarter 13</t>
  </si>
  <si>
    <t>Projected Quarter 14</t>
  </si>
  <si>
    <t>Projected Quarter 15</t>
  </si>
  <si>
    <t>Projected Quarter 16</t>
  </si>
  <si>
    <t>Projected Year 4</t>
  </si>
  <si>
    <t>(P3)</t>
  </si>
  <si>
    <t>(P4)</t>
  </si>
  <si>
    <t>Projected Quarter 17</t>
  </si>
  <si>
    <t>Projected Quarter 18</t>
  </si>
  <si>
    <t>Projected Quarter 19</t>
  </si>
  <si>
    <t>Projected Quarter 20</t>
  </si>
  <si>
    <t>Projected Year 5</t>
  </si>
  <si>
    <t>(P5)</t>
  </si>
  <si>
    <t>Annualized % Increase</t>
  </si>
  <si>
    <t>R1 to R2</t>
  </si>
  <si>
    <t>R2 to P1</t>
  </si>
  <si>
    <t>P1 to P2</t>
  </si>
  <si>
    <t>P2 to P3</t>
  </si>
  <si>
    <t>P3 to P4</t>
  </si>
  <si>
    <t>P4 to P5</t>
  </si>
  <si>
    <t>R2 to P2</t>
  </si>
  <si>
    <t>R2 to P5</t>
  </si>
  <si>
    <t xml:space="preserve">To modify the formulas as necessary to fit the length of the program complete this section.  </t>
  </si>
  <si>
    <t>The formulas will automatically update given this data.</t>
  </si>
  <si>
    <t>Prospective Years 1 through 5 (P1 - P5) or Years 1 though 2 (P1 -P2)</t>
  </si>
  <si>
    <t>P3      =</t>
  </si>
  <si>
    <t>P4       =</t>
  </si>
  <si>
    <t>P5       =</t>
  </si>
  <si>
    <t>P3</t>
  </si>
  <si>
    <t>P4</t>
  </si>
  <si>
    <t>P5</t>
  </si>
  <si>
    <t>TOTAL R2 to P3</t>
  </si>
  <si>
    <t>TOTAL R2 to P4</t>
  </si>
  <si>
    <t>TOTAL R2 to P5</t>
  </si>
  <si>
    <t>P3 PMPM Casemix for R2 (R2 MMs)</t>
  </si>
  <si>
    <t>P2 Per Member Per Month (PMPM) Costs</t>
  </si>
  <si>
    <t>Prospective Year 3 (P3) Projection for State Plan Services**</t>
  </si>
  <si>
    <t>Total P3 PMPM</t>
  </si>
  <si>
    <t>P3 Projection for Incentive Costs not Included in Capitation Rates**</t>
  </si>
  <si>
    <t>(Annual Year 3)</t>
  </si>
  <si>
    <t>P3 Projection for 1915(b)(3) Service Costs**</t>
  </si>
  <si>
    <t>P3 Projection for Administration Costs**</t>
  </si>
  <si>
    <t>P4 PMPM Casemix for R2 (R2 MMs)</t>
  </si>
  <si>
    <t>P4 PMPM</t>
  </si>
  <si>
    <t>P4 Per Member Per Month (PMPM) Costs</t>
  </si>
  <si>
    <t>P3 PMPM</t>
  </si>
  <si>
    <t>P3 Per Member Per Month (PMPM) Costs</t>
  </si>
  <si>
    <t>Prospective Year 4 (P4) Projection for State Plan Services**</t>
  </si>
  <si>
    <t>Total P4 PMPM</t>
  </si>
  <si>
    <t>P4 Projection for Incentive Costs not Included in Capitation Rates**</t>
  </si>
  <si>
    <t>(Annual Year 4)</t>
  </si>
  <si>
    <t>P4 Projection for 1915(b)(3) Service Costs**</t>
  </si>
  <si>
    <t>P4 Projection for Administration Costs**</t>
  </si>
  <si>
    <t>P5 Projection for Administration Costs**</t>
  </si>
  <si>
    <t>(Annual Year 5)</t>
  </si>
  <si>
    <t>Total P5 PMPM</t>
  </si>
  <si>
    <t>P5 Projection for 1915(b)(3) Service Costs**</t>
  </si>
  <si>
    <t>P5 Projection for Incentive Costs not Included in Capitation Rates**</t>
  </si>
  <si>
    <t>Prospective Year 5 (P2) Projection for State Plan Services**</t>
  </si>
  <si>
    <t>P5 PMPM Casemix for R2 (R2 MMs)</t>
  </si>
  <si>
    <t>Q9 Quarterly Projected Costs</t>
  </si>
  <si>
    <t>Q10 Quarterly Projected Costs</t>
  </si>
  <si>
    <t>Q11 Quarterly Projected Costs</t>
  </si>
  <si>
    <t>Q12 Quarterly Projected Costs</t>
  </si>
  <si>
    <t>Q13 Quarterly Projected Costs</t>
  </si>
  <si>
    <t>Q14 Quarterly Projected Costs</t>
  </si>
  <si>
    <t>Q15 Quarterly Projected Costs</t>
  </si>
  <si>
    <t>Q16 Quarterly Projected Costs</t>
  </si>
  <si>
    <t>Q17 Quarterly Projected Costs</t>
  </si>
  <si>
    <t>Q18 Quarterly Projected Costs</t>
  </si>
  <si>
    <t>Q19 Quarterly Projected Costs</t>
  </si>
  <si>
    <t>Q20 Quarterly Projected Costs</t>
  </si>
  <si>
    <t>P5 Weighted Average PMPM Casemix for P5 (P5 MMs)</t>
  </si>
  <si>
    <t>P4 Weighted Average PMPM Casemix for P4 (P4 MMs)</t>
  </si>
  <si>
    <t>P3 Weighted Average PMPM Casemix for P3 (P3 MMs)</t>
  </si>
  <si>
    <t>Q9 Quarterly Actual Costs</t>
  </si>
  <si>
    <t>Q10 Quarterly Actual Costs</t>
  </si>
  <si>
    <t>Q11 Quarterly Actual Costs</t>
  </si>
  <si>
    <t>Q12 Quarterly Actual Costs</t>
  </si>
  <si>
    <t>Q13 Quarterly Actual Costs</t>
  </si>
  <si>
    <t>Q14 Quarterly Actual Costs</t>
  </si>
  <si>
    <t>Q15 Quarterly Actual Costs</t>
  </si>
  <si>
    <t>Q16 Quarterly Actual Costs</t>
  </si>
  <si>
    <t>Q17 Quarterly Actual Costs</t>
  </si>
  <si>
    <t>Q18 Quarterly Actual Costs</t>
  </si>
  <si>
    <t>Q19 Quarterly Actual Costs</t>
  </si>
  <si>
    <t>Q20 Quarterly Actual Costs</t>
  </si>
  <si>
    <t>R1 to P5 Change</t>
  </si>
  <si>
    <t>P3 Projected PMPM Costs (Totals weighted on Projected Year 3 Member Months)</t>
  </si>
  <si>
    <t>P4 Projected PMPM Costs (Totals weighted on Projected Year 4 Member Months)</t>
  </si>
  <si>
    <t>P5 Projected PMPM Costs (Totals weighted on Projected Year 5 Member Months)</t>
  </si>
  <si>
    <t>P2 to P3 Change</t>
  </si>
  <si>
    <t>P3 to P4 Change</t>
  </si>
  <si>
    <t>P4 to P5 Change</t>
  </si>
  <si>
    <t>Year 3</t>
  </si>
  <si>
    <t>Year 4</t>
  </si>
  <si>
    <t>Year 5</t>
  </si>
  <si>
    <t>P5 PMPM</t>
  </si>
  <si>
    <t>Year 1 - 5</t>
  </si>
  <si>
    <t>(SUM of P1:P5)</t>
  </si>
  <si>
    <t>Total Projected Waiver Expenditures P1:P5 (Casemix for P1 through P5)</t>
  </si>
  <si>
    <t>P3 Weighted Average PMPM Casemix for P2 (P2 MMs)</t>
  </si>
  <si>
    <t>Total Projected Waiver Expenditures P3 (P3 MMs)</t>
  </si>
  <si>
    <t>Total Projected Waiver Expenditures P4 (P4 MMs)</t>
  </si>
  <si>
    <t>P4 Weighted Average PMPM Casemix for P3 (P3 MMs)</t>
  </si>
  <si>
    <t>Total Projected Waiver Expenditures P5 (P5 MMs)</t>
  </si>
  <si>
    <t>P5 Weighted Average PMPM Casemix for P4 (P4 MMs)</t>
  </si>
  <si>
    <t>CMS RO Completion Sections</t>
  </si>
  <si>
    <t>State Completion Section</t>
  </si>
  <si>
    <t>P3 Projected PMPM Costs from Appendix D5 (Totals weighted on Projected Year 3 Member Months)</t>
  </si>
  <si>
    <t>P4 Projected PMPM Costs from Appendix D5 (Totals weighted on Projected Year 4 Member Months)</t>
  </si>
  <si>
    <t>P5 Projected PMPM Costs from Appendix D5 (Totals weighted on Projected Year 5 Member Months)</t>
  </si>
  <si>
    <t>Total P3 Projected</t>
  </si>
  <si>
    <t>Total P4 Projected</t>
  </si>
  <si>
    <t>Total P5 Projected</t>
  </si>
  <si>
    <t>P2 Projected PMPM</t>
  </si>
  <si>
    <t>P3 Projected PMPM</t>
  </si>
  <si>
    <t>P4 Projected PMPM</t>
  </si>
  <si>
    <t>P5 Projected PMPM</t>
  </si>
  <si>
    <t>**R1 and R2 include actual data and dates used in conversion - no estimates</t>
  </si>
  <si>
    <t>Home Health Services</t>
  </si>
  <si>
    <t>Personal Care</t>
  </si>
  <si>
    <t>Wisconsin</t>
  </si>
  <si>
    <t>Nursing Home Level of Care</t>
  </si>
  <si>
    <t>Non-Nursing Home Level of Care</t>
  </si>
  <si>
    <t>Nursing Home Level of Care ((B)/(C) Enrollees)</t>
  </si>
  <si>
    <t>Non-Nursing Home Level of Care ((B) Only Enrollees)</t>
  </si>
  <si>
    <t>FFS</t>
  </si>
  <si>
    <t xml:space="preserve">FFS </t>
  </si>
  <si>
    <t>Impacted</t>
  </si>
  <si>
    <t>Adaptive Aids – General</t>
  </si>
  <si>
    <t>Adaptive Aids – Vehicles</t>
  </si>
  <si>
    <t>Adult Day Care</t>
  </si>
  <si>
    <t>Case Management</t>
  </si>
  <si>
    <t>Community Support Program</t>
  </si>
  <si>
    <t>Consumer Education and Training</t>
  </si>
  <si>
    <t>Consumer Directed Supports (Self Directed Supports) Support Broker</t>
  </si>
  <si>
    <t>Counseling/ Therapeutic Resources</t>
  </si>
  <si>
    <t>Durable Medical Equipment (excluding hearing aids and prosthetics)</t>
  </si>
  <si>
    <t>Disposable Medical Supplies</t>
  </si>
  <si>
    <t>Financial Management Services</t>
  </si>
  <si>
    <t>Home Modifications</t>
  </si>
  <si>
    <t>Housing Counseling</t>
  </si>
  <si>
    <t>Meals-Home Delivered</t>
  </si>
  <si>
    <t xml:space="preserve">Mental Health Day Treatment </t>
  </si>
  <si>
    <t>Occupational Therapy</t>
  </si>
  <si>
    <t>Personal Emergency Response System Services</t>
  </si>
  <si>
    <t>Physical Therapy</t>
  </si>
  <si>
    <t>Prevocational Services</t>
  </si>
  <si>
    <t>Relocation Services</t>
  </si>
  <si>
    <t>Residential Services – RCAC, CBRF, Adult Family Home</t>
  </si>
  <si>
    <t>Respiratory Therapy by Independent Nurse or therapist employed by Home Health Agency</t>
  </si>
  <si>
    <t xml:space="preserve">Respite Care </t>
  </si>
  <si>
    <t>Skilled Nursing</t>
  </si>
  <si>
    <t>Specialized Medical Supplies</t>
  </si>
  <si>
    <t>Supportive Home Care</t>
  </si>
  <si>
    <t>Transportation - Common Carrier</t>
  </si>
  <si>
    <t>Vocational Futures Planning and Support</t>
  </si>
  <si>
    <t>19.</t>
  </si>
  <si>
    <t>SCHOOL BASED ADMINISTRATION</t>
  </si>
  <si>
    <t>20.</t>
  </si>
  <si>
    <t>PROGRAM INTEGRITY/FRAUD, WASTE, AND ABUSE ACTIVITIES</t>
  </si>
  <si>
    <t>21.</t>
  </si>
  <si>
    <t>COUNTY/LOCAL ADM CASES</t>
  </si>
  <si>
    <t>22.</t>
  </si>
  <si>
    <t>INTERAGENCY COSTS</t>
  </si>
  <si>
    <t>23.</t>
  </si>
  <si>
    <t>TRNASLATION AND INTERPRETATION</t>
  </si>
  <si>
    <t>24.</t>
  </si>
  <si>
    <t>HEALTH INFORMATION TECHNOLOGY ADMINISTRATION</t>
  </si>
  <si>
    <t xml:space="preserve">     A.</t>
  </si>
  <si>
    <t>HIT: PLANNING: COST OF IN-HOUSE ACTIVITIES</t>
  </si>
  <si>
    <t xml:space="preserve">     B.</t>
  </si>
  <si>
    <t>HIT: PLANNING: COST OF PRIVATE CONTRACTORS</t>
  </si>
  <si>
    <t>HIT: IMPLEMENTATION AND OPERATION: COST OF IN-HOUSE ACTIVITIES</t>
  </si>
  <si>
    <t xml:space="preserve">     D.</t>
  </si>
  <si>
    <t>HIT: IMPLEMENTATION AND OPERATION: COST OF PRIVATE CONTRACTORS</t>
  </si>
  <si>
    <t xml:space="preserve">     E.</t>
  </si>
  <si>
    <t>HIT INCENTIVE PAYMENTS - ELIGIBLE PROFESSIONALS</t>
  </si>
  <si>
    <t xml:space="preserve">     F.</t>
  </si>
  <si>
    <t>HIT INCENTIVE PAYMENTS - ELIGIBLE HOSPITALS</t>
  </si>
  <si>
    <t>25.</t>
  </si>
  <si>
    <t>CITIZENSHIP VERIFICATION TECHNOLOGY</t>
  </si>
  <si>
    <t>26.</t>
  </si>
  <si>
    <t>28.A.</t>
  </si>
  <si>
    <t>29.</t>
  </si>
  <si>
    <t>CVT DEVELOPMENT - CHIPRA</t>
  </si>
  <si>
    <t>CVT OPERATION - CHIPRA</t>
  </si>
  <si>
    <t>PLANNING FOR HEALTH HOMES FOR ENROLLEES WITH CHRONIC CONDITIONS</t>
  </si>
  <si>
    <t>RECOVERY AUDIT CONTRACTORS STATE ADMINISTRATION</t>
  </si>
  <si>
    <t>DESIGN DEV/INSTALL OF MEDICAID ELIG DETERM SYS - IN-HOUSE ACTIVITIES</t>
  </si>
  <si>
    <t>DESIGN DEV/INSTALL OF MEDICAID ELIG DETERM SYS - PRIVATE CONTRACTORS</t>
  </si>
  <si>
    <t>OPERATION OF AN APPROVED MEDICAID ELIG DETERM SYS - IN-HOUSE ACTIVITIES</t>
  </si>
  <si>
    <t>OPERATION OF AN APPROVED MEDICAID ELIG DETERM SYS - PRIVATE CONTRACTORS</t>
  </si>
  <si>
    <t>DESIGN DEVELOPMENT OR INSTALLATION OF MMIS - IN-HOUSE ACTIVITIES</t>
  </si>
  <si>
    <t>DESIGN DEVELOPMENT OR INSTALLATION OF MMIS - PRIVATE CONTRACTORS</t>
  </si>
  <si>
    <t>2.  A.</t>
  </si>
  <si>
    <t>3.  A.</t>
  </si>
  <si>
    <t>SKILLED PROFESSIONAL MEDICAL PERSONNEL - SINGLE STATE AGENCY</t>
  </si>
  <si>
    <t>SKILLED PROFESSIONAL MEDICAL PERSONNEL - OTHER AGENCY</t>
  </si>
  <si>
    <t xml:space="preserve">4.  A.  </t>
  </si>
  <si>
    <t>OPERATION OF AN APPROVED MMIS: PRIVATE SECTOR CONTRACTORS</t>
  </si>
  <si>
    <t>MECHANIZED SYSTEMS, NOT APPROVED UNDER  MMIS PROCEDURES: IN-HOUSE ACTIVITIES PLUS OTHER STATE AGENCIES AND INSTITUTIONS</t>
  </si>
  <si>
    <t>OPERATION OF AN APPROVED MMIS: IN-HOUSE &amp; OTHER STATE AGENCIES AND INSTITUTIONS</t>
  </si>
  <si>
    <t>MECHANIZED SYSTEMS, NOT APPROVED UNDER  MMIS PROCEDURES: PRIVATE SECTOR CONTRACTORS</t>
  </si>
  <si>
    <t xml:space="preserve">5.  A.  </t>
  </si>
  <si>
    <t>MECHANIZED SYSTEMS, NOT APPROVED UNDER  MMIS PROCEDURES: INTERAGENCY</t>
  </si>
  <si>
    <t>1.</t>
  </si>
  <si>
    <t>6.</t>
  </si>
  <si>
    <t>8.</t>
  </si>
  <si>
    <t>9.</t>
  </si>
  <si>
    <t>10.</t>
  </si>
  <si>
    <t>11.</t>
  </si>
  <si>
    <t>12.</t>
  </si>
  <si>
    <t>13.</t>
  </si>
  <si>
    <t>QUALITY IMPROVEMENT ORGANIZATIONS</t>
  </si>
  <si>
    <t xml:space="preserve"> 7. A. </t>
  </si>
  <si>
    <t>PREADMISSION SCREENING COSTS</t>
  </si>
  <si>
    <t>R1 Expenses</t>
  </si>
  <si>
    <t>R2 Expenses</t>
  </si>
  <si>
    <t>R2 Overall PMPM Casemix for R2 (R2 MMs)</t>
  </si>
  <si>
    <t>x</t>
  </si>
  <si>
    <t>R2 Reporting Adj., Retro Acuity, &amp; Other Payments</t>
  </si>
  <si>
    <t>Retro Acuity &amp; Other Payments</t>
  </si>
  <si>
    <t>Training Services for Unpaid Caregivers</t>
  </si>
  <si>
    <t xml:space="preserve">Self-directed Personal Care </t>
  </si>
  <si>
    <t>THIRD PARTY LIABILITY ASSIGNMENT OF RIGHTS - BILLING OFFSET</t>
  </si>
  <si>
    <t>27.</t>
  </si>
  <si>
    <t xml:space="preserve">     D.  </t>
  </si>
  <si>
    <t xml:space="preserve">     E.  </t>
  </si>
  <si>
    <t xml:space="preserve">     F.  </t>
  </si>
  <si>
    <t xml:space="preserve">     G.  </t>
  </si>
  <si>
    <t xml:space="preserve">     H.  </t>
  </si>
  <si>
    <t>ELIGIBILITY DETERMINATION STAFF - IN-HOUSE ACTIVITIES</t>
  </si>
  <si>
    <t>ELIGIBILITY DETERMINATION STAFF - PRIVATE CONTRACTORS</t>
  </si>
  <si>
    <t>49.</t>
  </si>
  <si>
    <t>50.</t>
  </si>
  <si>
    <t>NON-EMERGENCY MEDICAL TRANSPORTATION</t>
  </si>
  <si>
    <t>Benefit FFP</t>
  </si>
  <si>
    <t>D5. Waiver Cost Projection  J13, J14, J30, J31, J43, J44, J57, J58, J70, J71</t>
  </si>
  <si>
    <t>D5. Waiver Cost Projection  Y13, Y14, Y30, Y31, Y43, Y44, Y57, Y58, Y70, Y71</t>
  </si>
  <si>
    <t>D5. Waiver Cost Projection  L13, L14, L30, L31, L43, L44, L57, L58, L70, L71</t>
  </si>
  <si>
    <t>P3 Per Member Per Month (PMPM) Costs from the prior waiver submission</t>
  </si>
  <si>
    <t>Total Previous P2 Projection using R1 member months</t>
  </si>
  <si>
    <t>Total Previous P3 Projection using R2 member months</t>
  </si>
  <si>
    <t>Total Projected Waiver Expenditures P1 + P2 (Casemix for P1 and P2)</t>
  </si>
  <si>
    <t>Weighted Average PMPM Casemix for R1 (R1 MMs)</t>
  </si>
  <si>
    <t>Weighted Average PMPM Casemix for P2 or P5 (P2 or P5 MMs)</t>
  </si>
  <si>
    <t xml:space="preserve">Alcohol and Other Drug Abuse Day Treatment </t>
  </si>
  <si>
    <t xml:space="preserve">Communication Aids/Assistive Technologies </t>
  </si>
  <si>
    <t xml:space="preserve">Consultative Clinical and Therapeutic Services for Caregivers </t>
  </si>
  <si>
    <t>Daily Living Skills Training</t>
  </si>
  <si>
    <t xml:space="preserve">Speech and Language Pathology Services (except in inpatient hospital settings) </t>
  </si>
  <si>
    <t xml:space="preserve">Supported Employment - Individual Employment Support </t>
  </si>
  <si>
    <t xml:space="preserve">Supported Employment - Small Group Employment Support </t>
  </si>
  <si>
    <r>
      <t>*Allocation basis is _</t>
    </r>
    <r>
      <rPr>
        <b/>
        <sz val="8"/>
        <rFont val="Helv"/>
      </rPr>
      <t>X</t>
    </r>
    <r>
      <rPr>
        <sz val="8"/>
        <rFont val="Helv"/>
      </rPr>
      <t>_% of Medicaid costs OR ___ % of Medicaid eligibles OR ___ other, please explain:</t>
    </r>
  </si>
  <si>
    <t>AODA Treatment (except those provided by a physician or on an inpatient basis)</t>
  </si>
  <si>
    <t>Mental Health Counseling/Therapy (except those provided by a physician or on an inpatient basis)</t>
  </si>
  <si>
    <t>Day Habilitation Services</t>
  </si>
  <si>
    <t>Nursing Home Stays (Nursing Home, Institution for Mental Disease (IMD) and ICF-I/ID Facility)</t>
  </si>
  <si>
    <t>Transportation - Community - Non-medical</t>
  </si>
  <si>
    <t>Transportation - Medical (including specialized medical vehicle)</t>
  </si>
  <si>
    <t xml:space="preserve">Transportation - Community - Self-directed non-emergrency medical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</si>
</sst>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General_)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0.000%"/>
    <numFmt numFmtId="174" formatCode="_(* #,##0.0000_);_(* \(#,##0.0000\);_(* &quot;-&quot;??_);_(@_)"/>
    <numFmt numFmtId="175" formatCode="[$-409]mmmm\ d\,\ yyyy;@"/>
    <numFmt numFmtId="176" formatCode="m/d/yy"/>
    <numFmt numFmtId="177" formatCode="m/d/yy;@"/>
    <numFmt numFmtId="179" formatCode="&quot;$&quot;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Helv"/>
    </font>
    <font>
      <sz val="10"/>
      <name val="Helv"/>
    </font>
    <font>
      <b/>
      <u/>
      <sz val="10"/>
      <name val="Arial"/>
      <family val="2"/>
    </font>
    <font>
      <u/>
      <sz val="8"/>
      <name val="Arial"/>
      <family val="2"/>
    </font>
    <font>
      <b/>
      <sz val="8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Segoe UI"/>
      <family val="2"/>
    </font>
    <font>
      <sz val="11"/>
      <color theme="1"/>
      <name val="Calibri"/>
      <family val="2"/>
      <scheme val="minor"/>
    </font>
    <font>
      <sz val="10"/>
      <color rgb="FF0070C0"/>
      <name val="Arial"/>
      <family val="2"/>
    </font>
    <font>
      <sz val="11"/>
      <color rgb="FF000000"/>
      <name val="Calibri"/>
      <family val="2"/>
    </font>
    <font>
      <sz val="18"/>
      <color theme="3"/>
      <name val="Cambria"/>
      <family val="2"/>
      <scheme val="maj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808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2" fillId="0" borderId="0"/>
    <xf numFmtId="0" fontId="32" fillId="0" borderId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4" fillId="34" borderId="0" applyNumberFormat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35" fillId="0" borderId="0" applyNumberFormat="0" applyBorder="0" applyAlignment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7" fillId="0" borderId="0"/>
    <xf numFmtId="0" fontId="33" fillId="0" borderId="0"/>
    <xf numFmtId="0" fontId="35" fillId="0" borderId="0" applyNumberFormat="0" applyBorder="0" applyAlignment="0"/>
    <xf numFmtId="0" fontId="33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7" fillId="0" borderId="0"/>
    <xf numFmtId="0" fontId="3" fillId="0" borderId="0"/>
    <xf numFmtId="0" fontId="7" fillId="0" borderId="0"/>
    <xf numFmtId="37" fontId="11" fillId="0" borderId="0"/>
    <xf numFmtId="165" fontId="4" fillId="0" borderId="0"/>
    <xf numFmtId="0" fontId="33" fillId="35" borderId="109" applyNumberFormat="0" applyFont="0" applyAlignment="0" applyProtection="0"/>
    <xf numFmtId="0" fontId="15" fillId="23" borderId="7" applyNumberFormat="0" applyFont="0" applyAlignment="0" applyProtection="0"/>
    <xf numFmtId="0" fontId="28" fillId="20" borderId="8" applyNumberFormat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2" fillId="0" borderId="0"/>
    <xf numFmtId="0" fontId="1" fillId="0" borderId="0"/>
  </cellStyleXfs>
  <cellXfs count="625">
    <xf numFmtId="0" fontId="0" fillId="0" borderId="0" xfId="0"/>
    <xf numFmtId="0" fontId="5" fillId="0" borderId="0" xfId="99" applyFont="1" applyAlignment="1">
      <alignment horizontal="center" vertical="center" wrapText="1"/>
    </xf>
    <xf numFmtId="0" fontId="5" fillId="0" borderId="0" xfId="99" applyFont="1" applyAlignment="1">
      <alignment horizontal="center" vertical="center"/>
    </xf>
    <xf numFmtId="0" fontId="5" fillId="0" borderId="0" xfId="99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6" fillId="0" borderId="0" xfId="102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0" borderId="0" xfId="102" quotePrefix="1" applyNumberFormat="1" applyFont="1" applyAlignment="1">
      <alignment horizontal="right" vertical="center"/>
    </xf>
    <xf numFmtId="3" fontId="5" fillId="0" borderId="11" xfId="0" applyNumberFormat="1" applyFont="1" applyBorder="1" applyAlignment="1">
      <alignment vertical="center"/>
    </xf>
    <xf numFmtId="166" fontId="8" fillId="0" borderId="12" xfId="28" quotePrefix="1" applyNumberFormat="1" applyFont="1" applyBorder="1" applyAlignment="1">
      <alignment horizontal="right" vertical="center"/>
    </xf>
    <xf numFmtId="10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65" fontId="5" fillId="0" borderId="0" xfId="102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0" xfId="102" applyFont="1" applyAlignment="1">
      <alignment horizontal="centerContinuous"/>
    </xf>
    <xf numFmtId="0" fontId="7" fillId="0" borderId="0" xfId="0" applyFont="1"/>
    <xf numFmtId="165" fontId="6" fillId="0" borderId="0" xfId="102" applyFont="1" applyAlignment="1">
      <alignment horizontal="left"/>
    </xf>
    <xf numFmtId="165" fontId="6" fillId="0" borderId="0" xfId="102" quotePrefix="1" applyFont="1" applyAlignment="1">
      <alignment horizontal="left"/>
    </xf>
    <xf numFmtId="165" fontId="8" fillId="0" borderId="0" xfId="102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/>
    <xf numFmtId="0" fontId="7" fillId="0" borderId="0" xfId="99" applyFont="1" applyAlignment="1">
      <alignment horizontal="centerContinuous" vertical="center"/>
    </xf>
    <xf numFmtId="0" fontId="7" fillId="0" borderId="0" xfId="99" applyFont="1" applyAlignment="1">
      <alignment vertical="center"/>
    </xf>
    <xf numFmtId="165" fontId="8" fillId="0" borderId="0" xfId="102" applyFont="1" applyAlignment="1">
      <alignment horizontal="centerContinuous" vertical="center" wrapText="1"/>
    </xf>
    <xf numFmtId="0" fontId="5" fillId="0" borderId="0" xfId="99" applyFont="1" applyAlignment="1">
      <alignment horizontal="centerContinuous" vertical="center"/>
    </xf>
    <xf numFmtId="165" fontId="8" fillId="0" borderId="0" xfId="102" applyFont="1" applyAlignment="1">
      <alignment horizontal="centerContinuous" vertical="center"/>
    </xf>
    <xf numFmtId="0" fontId="5" fillId="0" borderId="0" xfId="99" applyFont="1" applyAlignment="1">
      <alignment vertical="center" wrapText="1"/>
    </xf>
    <xf numFmtId="0" fontId="8" fillId="0" borderId="0" xfId="99" applyFont="1" applyAlignment="1">
      <alignment horizontal="centerContinuous" vertical="center" wrapText="1"/>
    </xf>
    <xf numFmtId="0" fontId="8" fillId="0" borderId="0" xfId="99" applyFont="1" applyAlignment="1">
      <alignment horizontal="center" vertical="center" wrapText="1"/>
    </xf>
    <xf numFmtId="0" fontId="8" fillId="0" borderId="0" xfId="99" applyFont="1" applyAlignment="1">
      <alignment horizontal="center"/>
    </xf>
    <xf numFmtId="2" fontId="8" fillId="0" borderId="0" xfId="99" applyNumberFormat="1" applyFont="1" applyAlignment="1">
      <alignment horizontal="center" wrapText="1"/>
    </xf>
    <xf numFmtId="166" fontId="5" fillId="0" borderId="13" xfId="28" applyNumberFormat="1" applyFont="1" applyBorder="1" applyAlignment="1">
      <alignment vertical="center" wrapText="1"/>
    </xf>
    <xf numFmtId="167" fontId="5" fillId="0" borderId="10" xfId="45" applyNumberFormat="1" applyFont="1" applyFill="1" applyBorder="1" applyAlignment="1">
      <alignment horizontal="center" vertical="center" wrapText="1"/>
    </xf>
    <xf numFmtId="167" fontId="5" fillId="0" borderId="10" xfId="45" applyNumberFormat="1" applyFont="1" applyBorder="1" applyAlignment="1">
      <alignment horizontal="center" vertical="center" wrapText="1"/>
    </xf>
    <xf numFmtId="167" fontId="8" fillId="0" borderId="13" xfId="45" applyNumberFormat="1" applyFont="1" applyBorder="1" applyAlignment="1">
      <alignment horizontal="center" vertical="center" wrapText="1"/>
    </xf>
    <xf numFmtId="44" fontId="5" fillId="0" borderId="10" xfId="45" applyFont="1" applyBorder="1" applyAlignment="1">
      <alignment horizontal="center" vertical="center" wrapText="1"/>
    </xf>
    <xf numFmtId="44" fontId="8" fillId="0" borderId="13" xfId="45" applyFont="1" applyBorder="1" applyAlignment="1">
      <alignment horizontal="center" vertical="center" wrapText="1"/>
    </xf>
    <xf numFmtId="2" fontId="8" fillId="0" borderId="0" xfId="99" applyNumberFormat="1" applyFont="1" applyAlignment="1">
      <alignment horizontal="center" vertical="center" wrapText="1"/>
    </xf>
    <xf numFmtId="4" fontId="5" fillId="0" borderId="0" xfId="99" applyNumberFormat="1" applyFont="1" applyAlignment="1">
      <alignment vertical="center"/>
    </xf>
    <xf numFmtId="2" fontId="5" fillId="0" borderId="0" xfId="99" applyNumberFormat="1" applyFont="1" applyAlignment="1">
      <alignment vertical="center"/>
    </xf>
    <xf numFmtId="166" fontId="5" fillId="0" borderId="14" xfId="28" applyNumberFormat="1" applyFont="1" applyBorder="1" applyAlignment="1">
      <alignment vertical="center" wrapText="1"/>
    </xf>
    <xf numFmtId="167" fontId="5" fillId="0" borderId="11" xfId="45" applyNumberFormat="1" applyFont="1" applyBorder="1" applyAlignment="1">
      <alignment horizontal="center" vertical="center" wrapText="1"/>
    </xf>
    <xf numFmtId="167" fontId="8" fillId="0" borderId="14" xfId="45" applyNumberFormat="1" applyFont="1" applyBorder="1" applyAlignment="1">
      <alignment horizontal="center" vertical="center" wrapText="1"/>
    </xf>
    <xf numFmtId="44" fontId="5" fillId="0" borderId="15" xfId="45" applyFont="1" applyBorder="1" applyAlignment="1">
      <alignment horizontal="center" vertical="center" wrapText="1"/>
    </xf>
    <xf numFmtId="44" fontId="8" fillId="0" borderId="16" xfId="45" applyFont="1" applyBorder="1" applyAlignment="1">
      <alignment horizontal="center" vertical="center" wrapText="1"/>
    </xf>
    <xf numFmtId="0" fontId="8" fillId="0" borderId="17" xfId="99" applyFont="1" applyBorder="1" applyAlignment="1">
      <alignment vertical="center" wrapText="1"/>
    </xf>
    <xf numFmtId="167" fontId="8" fillId="0" borderId="18" xfId="45" applyNumberFormat="1" applyFont="1" applyFill="1" applyBorder="1" applyAlignment="1">
      <alignment horizontal="center" vertical="center" wrapText="1"/>
    </xf>
    <xf numFmtId="167" fontId="8" fillId="0" borderId="19" xfId="45" applyNumberFormat="1" applyFont="1" applyFill="1" applyBorder="1" applyAlignment="1">
      <alignment horizontal="center" vertical="center" wrapText="1"/>
    </xf>
    <xf numFmtId="167" fontId="8" fillId="0" borderId="20" xfId="45" applyNumberFormat="1" applyFont="1" applyFill="1" applyBorder="1" applyAlignment="1">
      <alignment horizontal="center" vertical="center" wrapText="1"/>
    </xf>
    <xf numFmtId="0" fontId="5" fillId="0" borderId="21" xfId="99" applyFont="1" applyBorder="1" applyAlignment="1">
      <alignment vertical="center"/>
    </xf>
    <xf numFmtId="0" fontId="5" fillId="0" borderId="22" xfId="99" applyFont="1" applyBorder="1" applyAlignment="1">
      <alignment vertical="center"/>
    </xf>
    <xf numFmtId="44" fontId="8" fillId="0" borderId="22" xfId="45" applyFont="1" applyFill="1" applyBorder="1" applyAlignment="1">
      <alignment horizontal="center" vertical="center" wrapText="1"/>
    </xf>
    <xf numFmtId="0" fontId="5" fillId="0" borderId="0" xfId="99" applyFont="1" applyAlignment="1">
      <alignment horizontal="centerContinuous" vertical="center" wrapText="1"/>
    </xf>
    <xf numFmtId="0" fontId="5" fillId="0" borderId="0" xfId="99" applyFont="1" applyAlignment="1">
      <alignment horizontal="left" vertical="center" wrapText="1"/>
    </xf>
    <xf numFmtId="165" fontId="6" fillId="0" borderId="0" xfId="102" applyFont="1" applyAlignment="1">
      <alignment horizontal="centerContinuous" vertical="center" wrapText="1"/>
    </xf>
    <xf numFmtId="165" fontId="7" fillId="0" borderId="0" xfId="102" applyFont="1" applyAlignment="1">
      <alignment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65" fontId="7" fillId="0" borderId="0" xfId="102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 wrapText="1"/>
    </xf>
    <xf numFmtId="0" fontId="8" fillId="24" borderId="23" xfId="0" applyFont="1" applyFill="1" applyBorder="1" applyAlignment="1">
      <alignment horizontal="centerContinuous" vertical="center"/>
    </xf>
    <xf numFmtId="0" fontId="8" fillId="24" borderId="24" xfId="0" applyFont="1" applyFill="1" applyBorder="1" applyAlignment="1">
      <alignment horizontal="centerContinuous" vertical="center"/>
    </xf>
    <xf numFmtId="0" fontId="8" fillId="24" borderId="25" xfId="0" applyFont="1" applyFill="1" applyBorder="1" applyAlignment="1">
      <alignment horizontal="centerContinuous" vertical="center" wrapText="1"/>
    </xf>
    <xf numFmtId="0" fontId="8" fillId="24" borderId="23" xfId="0" applyFont="1" applyFill="1" applyBorder="1" applyAlignment="1">
      <alignment horizontal="centerContinuous" vertical="center" wrapText="1"/>
    </xf>
    <xf numFmtId="0" fontId="8" fillId="24" borderId="24" xfId="0" applyFont="1" applyFill="1" applyBorder="1" applyAlignment="1">
      <alignment horizontal="centerContinuous" vertical="center" wrapText="1"/>
    </xf>
    <xf numFmtId="0" fontId="8" fillId="0" borderId="0" xfId="0" applyFont="1" applyAlignment="1">
      <alignment vertical="center"/>
    </xf>
    <xf numFmtId="0" fontId="8" fillId="24" borderId="26" xfId="99" applyFont="1" applyFill="1" applyBorder="1" applyAlignment="1">
      <alignment horizontal="center" wrapText="1"/>
    </xf>
    <xf numFmtId="0" fontId="8" fillId="24" borderId="11" xfId="99" applyFont="1" applyFill="1" applyBorder="1" applyAlignment="1">
      <alignment horizontal="center" wrapText="1"/>
    </xf>
    <xf numFmtId="0" fontId="8" fillId="24" borderId="14" xfId="99" quotePrefix="1" applyFont="1" applyFill="1" applyBorder="1" applyAlignment="1">
      <alignment horizontal="center" wrapText="1"/>
    </xf>
    <xf numFmtId="0" fontId="8" fillId="24" borderId="27" xfId="99" applyFont="1" applyFill="1" applyBorder="1" applyAlignment="1">
      <alignment horizontal="center" wrapText="1"/>
    </xf>
    <xf numFmtId="0" fontId="8" fillId="24" borderId="21" xfId="99" applyFont="1" applyFill="1" applyBorder="1" applyAlignment="1">
      <alignment horizontal="center" wrapText="1"/>
    </xf>
    <xf numFmtId="0" fontId="8" fillId="24" borderId="28" xfId="99" applyFont="1" applyFill="1" applyBorder="1" applyAlignment="1">
      <alignment horizontal="center" wrapText="1"/>
    </xf>
    <xf numFmtId="0" fontId="8" fillId="24" borderId="21" xfId="99" quotePrefix="1" applyFont="1" applyFill="1" applyBorder="1" applyAlignment="1">
      <alignment horizontal="center" wrapText="1"/>
    </xf>
    <xf numFmtId="0" fontId="8" fillId="24" borderId="29" xfId="99" applyFont="1" applyFill="1" applyBorder="1" applyAlignment="1">
      <alignment horizontal="center" vertical="center" wrapText="1"/>
    </xf>
    <xf numFmtId="0" fontId="8" fillId="24" borderId="29" xfId="99" quotePrefix="1" applyFont="1" applyFill="1" applyBorder="1" applyAlignment="1">
      <alignment horizontal="center" vertical="center" wrapText="1"/>
    </xf>
    <xf numFmtId="0" fontId="8" fillId="24" borderId="30" xfId="99" quotePrefix="1" applyFont="1" applyFill="1" applyBorder="1" applyAlignment="1">
      <alignment horizontal="center" vertical="center" wrapText="1"/>
    </xf>
    <xf numFmtId="0" fontId="8" fillId="24" borderId="31" xfId="99" quotePrefix="1" applyFont="1" applyFill="1" applyBorder="1" applyAlignment="1">
      <alignment horizontal="center" vertical="center" wrapText="1"/>
    </xf>
    <xf numFmtId="44" fontId="5" fillId="0" borderId="32" xfId="45" applyFont="1" applyFill="1" applyBorder="1" applyAlignment="1">
      <alignment horizontal="center" vertical="center" wrapText="1"/>
    </xf>
    <xf numFmtId="44" fontId="5" fillId="0" borderId="10" xfId="45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165" fontId="5" fillId="0" borderId="0" xfId="102" applyFont="1" applyAlignment="1">
      <alignment horizontal="centerContinuous" vertical="center" wrapText="1"/>
    </xf>
    <xf numFmtId="3" fontId="5" fillId="0" borderId="0" xfId="102" applyNumberFormat="1" applyFont="1" applyAlignment="1">
      <alignment horizontal="centerContinuous" vertical="center"/>
    </xf>
    <xf numFmtId="3" fontId="5" fillId="0" borderId="0" xfId="102" quotePrefix="1" applyNumberFormat="1" applyFont="1" applyAlignment="1">
      <alignment horizontal="centerContinuous" vertical="center"/>
    </xf>
    <xf numFmtId="165" fontId="5" fillId="0" borderId="0" xfId="102" applyFont="1" applyAlignment="1">
      <alignment vertical="center" wrapText="1"/>
    </xf>
    <xf numFmtId="165" fontId="5" fillId="0" borderId="0" xfId="102" applyFont="1" applyAlignment="1">
      <alignment vertical="center"/>
    </xf>
    <xf numFmtId="3" fontId="5" fillId="0" borderId="0" xfId="102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24" borderId="30" xfId="9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vertical="center"/>
    </xf>
    <xf numFmtId="165" fontId="8" fillId="25" borderId="33" xfId="102" applyFont="1" applyFill="1" applyBorder="1" applyAlignment="1">
      <alignment horizontal="center" vertical="center"/>
    </xf>
    <xf numFmtId="0" fontId="8" fillId="25" borderId="23" xfId="0" applyFont="1" applyFill="1" applyBorder="1" applyAlignment="1">
      <alignment horizontal="centerContinuous" vertical="center"/>
    </xf>
    <xf numFmtId="0" fontId="8" fillId="25" borderId="24" xfId="0" applyFont="1" applyFill="1" applyBorder="1" applyAlignment="1">
      <alignment horizontal="centerContinuous" vertical="center"/>
    </xf>
    <xf numFmtId="165" fontId="8" fillId="25" borderId="27" xfId="102" applyFont="1" applyFill="1" applyBorder="1" applyAlignment="1">
      <alignment horizontal="center" vertical="center" wrapText="1"/>
    </xf>
    <xf numFmtId="0" fontId="8" fillId="25" borderId="11" xfId="99" applyFont="1" applyFill="1" applyBorder="1" applyAlignment="1">
      <alignment horizontal="center" vertical="center" wrapText="1"/>
    </xf>
    <xf numFmtId="0" fontId="8" fillId="25" borderId="14" xfId="99" applyFont="1" applyFill="1" applyBorder="1" applyAlignment="1">
      <alignment horizontal="center" vertical="center" wrapText="1"/>
    </xf>
    <xf numFmtId="0" fontId="8" fillId="25" borderId="21" xfId="99" applyFont="1" applyFill="1" applyBorder="1" applyAlignment="1">
      <alignment horizontal="center" vertical="center" wrapText="1"/>
    </xf>
    <xf numFmtId="0" fontId="8" fillId="25" borderId="28" xfId="99" applyFont="1" applyFill="1" applyBorder="1" applyAlignment="1">
      <alignment horizontal="center" vertical="center" wrapText="1"/>
    </xf>
    <xf numFmtId="0" fontId="8" fillId="25" borderId="21" xfId="99" quotePrefix="1" applyFont="1" applyFill="1" applyBorder="1" applyAlignment="1">
      <alignment horizontal="center" vertical="center" wrapText="1"/>
    </xf>
    <xf numFmtId="165" fontId="8" fillId="25" borderId="31" xfId="102" applyFont="1" applyFill="1" applyBorder="1" applyAlignment="1">
      <alignment horizontal="center" vertical="center" wrapText="1"/>
    </xf>
    <xf numFmtId="0" fontId="8" fillId="25" borderId="29" xfId="99" applyFont="1" applyFill="1" applyBorder="1" applyAlignment="1">
      <alignment horizontal="center" vertical="center" wrapText="1"/>
    </xf>
    <xf numFmtId="0" fontId="8" fillId="25" borderId="30" xfId="99" applyFont="1" applyFill="1" applyBorder="1" applyAlignment="1">
      <alignment horizontal="center" vertical="center" wrapText="1"/>
    </xf>
    <xf numFmtId="44" fontId="5" fillId="0" borderId="13" xfId="45" applyFont="1" applyBorder="1" applyAlignment="1">
      <alignment horizontal="center" vertical="center" wrapText="1"/>
    </xf>
    <xf numFmtId="44" fontId="5" fillId="0" borderId="29" xfId="45" applyFont="1" applyBorder="1" applyAlignment="1">
      <alignment horizontal="center" vertical="center" wrapText="1"/>
    </xf>
    <xf numFmtId="44" fontId="5" fillId="0" borderId="11" xfId="45" applyFont="1" applyBorder="1" applyAlignment="1">
      <alignment horizontal="center" vertical="center" wrapText="1"/>
    </xf>
    <xf numFmtId="44" fontId="5" fillId="0" borderId="14" xfId="45" applyFont="1" applyBorder="1" applyAlignment="1">
      <alignment horizontal="center" vertical="center" wrapText="1"/>
    </xf>
    <xf numFmtId="0" fontId="8" fillId="0" borderId="34" xfId="99" applyFont="1" applyBorder="1" applyAlignment="1">
      <alignment vertical="center" wrapText="1"/>
    </xf>
    <xf numFmtId="0" fontId="8" fillId="0" borderId="35" xfId="99" applyFont="1" applyBorder="1" applyAlignment="1">
      <alignment vertical="center" wrapText="1"/>
    </xf>
    <xf numFmtId="0" fontId="8" fillId="0" borderId="0" xfId="99" applyFont="1" applyBorder="1" applyAlignment="1">
      <alignment vertical="center" wrapText="1"/>
    </xf>
    <xf numFmtId="166" fontId="8" fillId="0" borderId="0" xfId="28" applyNumberFormat="1" applyFont="1" applyBorder="1" applyAlignment="1">
      <alignment vertical="center" wrapText="1"/>
    </xf>
    <xf numFmtId="44" fontId="8" fillId="0" borderId="0" xfId="45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25" borderId="36" xfId="0" applyFont="1" applyFill="1" applyBorder="1" applyAlignment="1">
      <alignment horizontal="center" vertical="center"/>
    </xf>
    <xf numFmtId="0" fontId="8" fillId="25" borderId="25" xfId="0" applyFont="1" applyFill="1" applyBorder="1" applyAlignment="1">
      <alignment horizontal="centerContinuous" vertical="center"/>
    </xf>
    <xf numFmtId="0" fontId="8" fillId="25" borderId="26" xfId="99" applyFont="1" applyFill="1" applyBorder="1" applyAlignment="1">
      <alignment horizontal="center" vertical="center" wrapText="1"/>
    </xf>
    <xf numFmtId="0" fontId="8" fillId="25" borderId="27" xfId="99" applyFont="1" applyFill="1" applyBorder="1" applyAlignment="1">
      <alignment horizontal="center" vertical="center" wrapText="1"/>
    </xf>
    <xf numFmtId="0" fontId="8" fillId="25" borderId="31" xfId="99" applyFont="1" applyFill="1" applyBorder="1" applyAlignment="1">
      <alignment horizontal="center" vertical="center" wrapText="1"/>
    </xf>
    <xf numFmtId="166" fontId="5" fillId="0" borderId="30" xfId="28" applyNumberFormat="1" applyFont="1" applyBorder="1" applyAlignment="1">
      <alignment vertical="center" wrapText="1"/>
    </xf>
    <xf numFmtId="44" fontId="5" fillId="0" borderId="37" xfId="45" applyFont="1" applyBorder="1" applyAlignment="1">
      <alignment horizontal="center" vertical="center" wrapText="1"/>
    </xf>
    <xf numFmtId="0" fontId="8" fillId="0" borderId="38" xfId="99" applyFont="1" applyBorder="1" applyAlignment="1">
      <alignment vertical="center" wrapText="1"/>
    </xf>
    <xf numFmtId="166" fontId="8" fillId="0" borderId="38" xfId="28" applyNumberFormat="1" applyFont="1" applyBorder="1" applyAlignment="1">
      <alignment vertical="center" wrapText="1"/>
    </xf>
    <xf numFmtId="166" fontId="8" fillId="0" borderId="38" xfId="28" applyNumberFormat="1" applyFont="1" applyBorder="1" applyAlignment="1">
      <alignment vertical="center"/>
    </xf>
    <xf numFmtId="44" fontId="8" fillId="0" borderId="38" xfId="45" applyFont="1" applyBorder="1" applyAlignment="1">
      <alignment vertical="center" wrapText="1"/>
    </xf>
    <xf numFmtId="44" fontId="8" fillId="0" borderId="38" xfId="45" applyFont="1" applyBorder="1" applyAlignment="1">
      <alignment horizontal="center" vertical="center" wrapText="1"/>
    </xf>
    <xf numFmtId="44" fontId="8" fillId="0" borderId="38" xfId="45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168" fontId="8" fillId="0" borderId="38" xfId="0" applyNumberFormat="1" applyFont="1" applyFill="1" applyBorder="1" applyAlignment="1">
      <alignment vertical="center"/>
    </xf>
    <xf numFmtId="0" fontId="8" fillId="0" borderId="39" xfId="0" quotePrefix="1" applyFont="1" applyFill="1" applyBorder="1" applyAlignment="1">
      <alignment horizontal="left" vertical="center"/>
    </xf>
    <xf numFmtId="0" fontId="8" fillId="0" borderId="40" xfId="0" applyFont="1" applyFill="1" applyBorder="1" applyAlignment="1">
      <alignment vertical="center"/>
    </xf>
    <xf numFmtId="168" fontId="8" fillId="0" borderId="41" xfId="0" applyNumberFormat="1" applyFont="1" applyFill="1" applyBorder="1" applyAlignment="1">
      <alignment vertical="center"/>
    </xf>
    <xf numFmtId="44" fontId="8" fillId="0" borderId="0" xfId="45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vertical="center"/>
    </xf>
    <xf numFmtId="165" fontId="8" fillId="25" borderId="42" xfId="102" applyFont="1" applyFill="1" applyBorder="1" applyAlignment="1">
      <alignment horizontal="center" vertical="center"/>
    </xf>
    <xf numFmtId="165" fontId="8" fillId="25" borderId="43" xfId="102" applyFont="1" applyFill="1" applyBorder="1" applyAlignment="1">
      <alignment horizontal="center" vertical="center" wrapText="1"/>
    </xf>
    <xf numFmtId="165" fontId="8" fillId="25" borderId="44" xfId="102" applyFont="1" applyFill="1" applyBorder="1" applyAlignment="1">
      <alignment horizontal="center" vertical="center" wrapText="1"/>
    </xf>
    <xf numFmtId="0" fontId="8" fillId="24" borderId="45" xfId="99" applyFont="1" applyFill="1" applyBorder="1" applyAlignment="1">
      <alignment horizontal="center" wrapText="1"/>
    </xf>
    <xf numFmtId="0" fontId="8" fillId="24" borderId="46" xfId="99" applyFont="1" applyFill="1" applyBorder="1" applyAlignment="1">
      <alignment horizontal="center" wrapText="1"/>
    </xf>
    <xf numFmtId="0" fontId="8" fillId="24" borderId="47" xfId="0" applyFont="1" applyFill="1" applyBorder="1" applyAlignment="1">
      <alignment horizontal="centerContinuous" vertical="center" wrapText="1"/>
    </xf>
    <xf numFmtId="0" fontId="8" fillId="24" borderId="28" xfId="99" quotePrefix="1" applyFont="1" applyFill="1" applyBorder="1" applyAlignment="1">
      <alignment horizontal="center" wrapText="1"/>
    </xf>
    <xf numFmtId="44" fontId="5" fillId="0" borderId="48" xfId="45" applyFont="1" applyFill="1" applyBorder="1" applyAlignment="1">
      <alignment horizontal="center" vertical="center" wrapText="1"/>
    </xf>
    <xf numFmtId="44" fontId="5" fillId="26" borderId="13" xfId="45" applyFont="1" applyFill="1" applyBorder="1" applyAlignment="1">
      <alignment horizontal="center" vertical="center" wrapText="1"/>
    </xf>
    <xf numFmtId="164" fontId="8" fillId="0" borderId="49" xfId="106" applyNumberFormat="1" applyFont="1" applyFill="1" applyBorder="1" applyAlignment="1">
      <alignment horizontal="center" vertical="center"/>
    </xf>
    <xf numFmtId="44" fontId="8" fillId="0" borderId="49" xfId="45" applyFont="1" applyFill="1" applyBorder="1" applyAlignment="1">
      <alignment horizontal="center" vertical="center" wrapText="1"/>
    </xf>
    <xf numFmtId="0" fontId="8" fillId="24" borderId="14" xfId="99" applyFont="1" applyFill="1" applyBorder="1" applyAlignment="1">
      <alignment horizontal="center" wrapText="1"/>
    </xf>
    <xf numFmtId="44" fontId="5" fillId="0" borderId="13" xfId="45" applyFont="1" applyFill="1" applyBorder="1" applyAlignment="1">
      <alignment horizontal="center" vertical="center" wrapText="1"/>
    </xf>
    <xf numFmtId="44" fontId="8" fillId="0" borderId="50" xfId="45" applyFont="1" applyFill="1" applyBorder="1" applyAlignment="1">
      <alignment horizontal="center" vertical="center" wrapText="1"/>
    </xf>
    <xf numFmtId="44" fontId="8" fillId="0" borderId="51" xfId="45" applyFont="1" applyFill="1" applyBorder="1" applyAlignment="1">
      <alignment horizontal="center" vertical="center" wrapText="1"/>
    </xf>
    <xf numFmtId="0" fontId="8" fillId="24" borderId="37" xfId="99" applyFont="1" applyFill="1" applyBorder="1" applyAlignment="1">
      <alignment horizontal="center" vertical="center" wrapText="1"/>
    </xf>
    <xf numFmtId="44" fontId="8" fillId="0" borderId="52" xfId="45" applyFont="1" applyFill="1" applyBorder="1" applyAlignment="1">
      <alignment horizontal="center" vertical="center" wrapText="1"/>
    </xf>
    <xf numFmtId="165" fontId="5" fillId="24" borderId="33" xfId="102" applyFont="1" applyFill="1" applyBorder="1" applyAlignment="1">
      <alignment horizontal="centerContinuous" vertical="center"/>
    </xf>
    <xf numFmtId="0" fontId="8" fillId="24" borderId="36" xfId="0" applyFont="1" applyFill="1" applyBorder="1" applyAlignment="1">
      <alignment horizontal="centerContinuous" vertical="center"/>
    </xf>
    <xf numFmtId="165" fontId="8" fillId="24" borderId="27" xfId="102" applyFont="1" applyFill="1" applyBorder="1" applyAlignment="1">
      <alignment horizontal="center" wrapText="1"/>
    </xf>
    <xf numFmtId="165" fontId="8" fillId="24" borderId="31" xfId="102" applyFont="1" applyFill="1" applyBorder="1" applyAlignment="1">
      <alignment horizontal="center" vertical="center" wrapText="1"/>
    </xf>
    <xf numFmtId="166" fontId="5" fillId="0" borderId="13" xfId="28" quotePrefix="1" applyNumberFormat="1" applyFont="1" applyBorder="1" applyAlignment="1">
      <alignment horizontal="right" vertical="center"/>
    </xf>
    <xf numFmtId="166" fontId="8" fillId="0" borderId="30" xfId="28" quotePrefix="1" applyNumberFormat="1" applyFont="1" applyBorder="1" applyAlignment="1">
      <alignment horizontal="right" vertical="center"/>
    </xf>
    <xf numFmtId="0" fontId="8" fillId="0" borderId="3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44" fontId="8" fillId="0" borderId="29" xfId="45" applyFont="1" applyFill="1" applyBorder="1" applyAlignment="1">
      <alignment vertical="center"/>
    </xf>
    <xf numFmtId="164" fontId="8" fillId="0" borderId="29" xfId="106" applyNumberFormat="1" applyFont="1" applyFill="1" applyBorder="1" applyAlignment="1">
      <alignment horizontal="center" vertical="center" wrapText="1"/>
    </xf>
    <xf numFmtId="44" fontId="5" fillId="0" borderId="53" xfId="45" applyFont="1" applyFill="1" applyBorder="1" applyAlignment="1">
      <alignment horizontal="center" vertical="center" wrapText="1"/>
    </xf>
    <xf numFmtId="44" fontId="5" fillId="0" borderId="15" xfId="45" applyFont="1" applyFill="1" applyBorder="1" applyAlignment="1">
      <alignment horizontal="center" vertical="center" wrapText="1"/>
    </xf>
    <xf numFmtId="44" fontId="5" fillId="0" borderId="16" xfId="45" applyFont="1" applyFill="1" applyBorder="1" applyAlignment="1">
      <alignment horizontal="center" vertical="center" wrapText="1"/>
    </xf>
    <xf numFmtId="44" fontId="5" fillId="0" borderId="54" xfId="45" applyFont="1" applyFill="1" applyBorder="1" applyAlignment="1">
      <alignment horizontal="center" vertical="center" wrapText="1"/>
    </xf>
    <xf numFmtId="44" fontId="5" fillId="26" borderId="16" xfId="45" applyFont="1" applyFill="1" applyBorder="1" applyAlignment="1">
      <alignment horizontal="center" vertical="center" wrapText="1"/>
    </xf>
    <xf numFmtId="44" fontId="5" fillId="27" borderId="13" xfId="45" applyFont="1" applyFill="1" applyBorder="1" applyAlignment="1">
      <alignment horizontal="center" vertical="center" wrapText="1"/>
    </xf>
    <xf numFmtId="44" fontId="5" fillId="27" borderId="16" xfId="45" applyFont="1" applyFill="1" applyBorder="1" applyAlignment="1">
      <alignment horizontal="center" vertical="center" wrapText="1"/>
    </xf>
    <xf numFmtId="0" fontId="8" fillId="24" borderId="42" xfId="0" applyFont="1" applyFill="1" applyBorder="1" applyAlignment="1">
      <alignment vertical="center" wrapText="1"/>
    </xf>
    <xf numFmtId="0" fontId="8" fillId="24" borderId="43" xfId="0" quotePrefix="1" applyFont="1" applyFill="1" applyBorder="1" applyAlignment="1">
      <alignment horizontal="center" wrapText="1"/>
    </xf>
    <xf numFmtId="0" fontId="8" fillId="24" borderId="43" xfId="0" applyFont="1" applyFill="1" applyBorder="1" applyAlignment="1">
      <alignment horizontal="center" wrapText="1"/>
    </xf>
    <xf numFmtId="0" fontId="8" fillId="24" borderId="44" xfId="0" quotePrefix="1" applyFont="1" applyFill="1" applyBorder="1" applyAlignment="1">
      <alignment horizontal="center" vertical="center" wrapText="1"/>
    </xf>
    <xf numFmtId="44" fontId="8" fillId="27" borderId="55" xfId="45" applyFont="1" applyFill="1" applyBorder="1" applyAlignment="1">
      <alignment horizontal="center" vertical="center" wrapText="1"/>
    </xf>
    <xf numFmtId="44" fontId="8" fillId="27" borderId="56" xfId="45" applyFont="1" applyFill="1" applyBorder="1" applyAlignment="1">
      <alignment horizontal="center" vertical="center" wrapText="1"/>
    </xf>
    <xf numFmtId="44" fontId="8" fillId="27" borderId="44" xfId="45" applyFont="1" applyFill="1" applyBorder="1" applyAlignment="1">
      <alignment horizontal="center" vertical="center" wrapText="1"/>
    </xf>
    <xf numFmtId="44" fontId="8" fillId="27" borderId="57" xfId="45" applyFont="1" applyFill="1" applyBorder="1" applyAlignment="1">
      <alignment horizontal="center" vertical="center" wrapText="1"/>
    </xf>
    <xf numFmtId="44" fontId="5" fillId="0" borderId="48" xfId="45" applyFont="1" applyBorder="1" applyAlignment="1">
      <alignment horizontal="center" vertical="center" wrapText="1"/>
    </xf>
    <xf numFmtId="44" fontId="5" fillId="0" borderId="54" xfId="45" applyFont="1" applyBorder="1" applyAlignment="1">
      <alignment horizontal="center" vertical="center" wrapText="1"/>
    </xf>
    <xf numFmtId="0" fontId="5" fillId="0" borderId="27" xfId="99" applyFont="1" applyBorder="1" applyAlignment="1">
      <alignment vertical="center"/>
    </xf>
    <xf numFmtId="0" fontId="5" fillId="0" borderId="28" xfId="99" applyFont="1" applyBorder="1" applyAlignment="1">
      <alignment vertical="center"/>
    </xf>
    <xf numFmtId="44" fontId="8" fillId="0" borderId="29" xfId="45" applyFont="1" applyFill="1" applyBorder="1" applyAlignment="1">
      <alignment horizontal="center" vertical="center" wrapText="1"/>
    </xf>
    <xf numFmtId="44" fontId="8" fillId="26" borderId="30" xfId="45" applyFont="1" applyFill="1" applyBorder="1" applyAlignment="1">
      <alignment horizontal="center" vertical="center" wrapText="1"/>
    </xf>
    <xf numFmtId="44" fontId="8" fillId="27" borderId="30" xfId="45" applyFont="1" applyFill="1" applyBorder="1" applyAlignment="1">
      <alignment horizontal="center" vertical="center" wrapText="1"/>
    </xf>
    <xf numFmtId="0" fontId="8" fillId="0" borderId="51" xfId="99" applyFont="1" applyBorder="1" applyAlignment="1">
      <alignment vertical="center"/>
    </xf>
    <xf numFmtId="44" fontId="8" fillId="26" borderId="51" xfId="45" applyFont="1" applyFill="1" applyBorder="1" applyAlignment="1">
      <alignment horizontal="center" vertical="center" wrapText="1"/>
    </xf>
    <xf numFmtId="44" fontId="8" fillId="27" borderId="51" xfId="45" applyFont="1" applyFill="1" applyBorder="1" applyAlignment="1">
      <alignment horizontal="center" vertical="center" wrapText="1"/>
    </xf>
    <xf numFmtId="165" fontId="8" fillId="25" borderId="46" xfId="10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4" fontId="8" fillId="0" borderId="22" xfId="45" applyFont="1" applyBorder="1" applyAlignment="1">
      <alignment vertical="center" wrapText="1"/>
    </xf>
    <xf numFmtId="44" fontId="8" fillId="0" borderId="22" xfId="45" applyFont="1" applyBorder="1" applyAlignment="1">
      <alignment horizontal="center" vertical="center" wrapText="1"/>
    </xf>
    <xf numFmtId="44" fontId="5" fillId="0" borderId="0" xfId="0" applyNumberFormat="1" applyFont="1"/>
    <xf numFmtId="0" fontId="8" fillId="0" borderId="58" xfId="0" applyFont="1" applyBorder="1"/>
    <xf numFmtId="0" fontId="8" fillId="0" borderId="59" xfId="0" applyFont="1" applyBorder="1"/>
    <xf numFmtId="166" fontId="5" fillId="0" borderId="31" xfId="28" applyNumberFormat="1" applyFont="1" applyBorder="1" applyAlignment="1">
      <alignment vertical="center" wrapText="1"/>
    </xf>
    <xf numFmtId="44" fontId="5" fillId="0" borderId="30" xfId="45" applyFont="1" applyBorder="1" applyAlignment="1">
      <alignment horizontal="center" vertical="center" wrapText="1"/>
    </xf>
    <xf numFmtId="166" fontId="5" fillId="0" borderId="27" xfId="28" applyNumberFormat="1" applyFont="1" applyBorder="1" applyAlignment="1">
      <alignment vertical="center" wrapText="1"/>
    </xf>
    <xf numFmtId="44" fontId="5" fillId="0" borderId="28" xfId="45" applyFont="1" applyBorder="1" applyAlignment="1">
      <alignment horizontal="center" vertical="center" wrapText="1"/>
    </xf>
    <xf numFmtId="44" fontId="5" fillId="0" borderId="48" xfId="45" applyFont="1" applyBorder="1" applyAlignment="1">
      <alignment vertical="center" wrapText="1"/>
    </xf>
    <xf numFmtId="44" fontId="5" fillId="0" borderId="26" xfId="45" applyFont="1" applyBorder="1" applyAlignment="1">
      <alignment vertical="center" wrapText="1"/>
    </xf>
    <xf numFmtId="0" fontId="8" fillId="0" borderId="17" xfId="0" applyFont="1" applyBorder="1"/>
    <xf numFmtId="165" fontId="8" fillId="25" borderId="36" xfId="102" applyFont="1" applyFill="1" applyBorder="1" applyAlignment="1">
      <alignment horizontal="center" vertical="center"/>
    </xf>
    <xf numFmtId="165" fontId="8" fillId="25" borderId="28" xfId="102" quotePrefix="1" applyFont="1" applyFill="1" applyBorder="1" applyAlignment="1">
      <alignment horizontal="center" vertical="center" wrapText="1"/>
    </xf>
    <xf numFmtId="165" fontId="8" fillId="25" borderId="28" xfId="102" applyFont="1" applyFill="1" applyBorder="1" applyAlignment="1">
      <alignment horizontal="center" vertical="center" wrapText="1"/>
    </xf>
    <xf numFmtId="165" fontId="8" fillId="25" borderId="30" xfId="102" quotePrefix="1" applyFont="1" applyFill="1" applyBorder="1" applyAlignment="1">
      <alignment horizontal="center" vertical="center" wrapText="1"/>
    </xf>
    <xf numFmtId="166" fontId="5" fillId="0" borderId="13" xfId="28" applyNumberFormat="1" applyFont="1" applyBorder="1" applyAlignment="1">
      <alignment vertical="center"/>
    </xf>
    <xf numFmtId="166" fontId="5" fillId="0" borderId="14" xfId="28" applyNumberFormat="1" applyFont="1" applyBorder="1" applyAlignment="1">
      <alignment vertical="center"/>
    </xf>
    <xf numFmtId="166" fontId="8" fillId="0" borderId="59" xfId="28" applyNumberFormat="1" applyFont="1" applyBorder="1" applyAlignment="1">
      <alignment vertical="center"/>
    </xf>
    <xf numFmtId="166" fontId="8" fillId="0" borderId="60" xfId="28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44" fontId="5" fillId="0" borderId="32" xfId="45" applyFont="1" applyBorder="1" applyAlignment="1">
      <alignment vertical="center" wrapText="1"/>
    </xf>
    <xf numFmtId="44" fontId="5" fillId="0" borderId="45" xfId="45" applyFont="1" applyBorder="1" applyAlignment="1">
      <alignment vertical="center" wrapText="1"/>
    </xf>
    <xf numFmtId="166" fontId="5" fillId="0" borderId="16" xfId="28" applyNumberFormat="1" applyFont="1" applyBorder="1" applyAlignment="1">
      <alignment vertical="center"/>
    </xf>
    <xf numFmtId="44" fontId="5" fillId="0" borderId="61" xfId="45" applyFont="1" applyBorder="1" applyAlignment="1">
      <alignment horizontal="center" vertical="center" wrapText="1"/>
    </xf>
    <xf numFmtId="44" fontId="5" fillId="0" borderId="62" xfId="45" applyFont="1" applyBorder="1" applyAlignment="1">
      <alignment horizontal="center" vertical="center" wrapText="1"/>
    </xf>
    <xf numFmtId="0" fontId="8" fillId="0" borderId="42" xfId="99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64" fontId="5" fillId="0" borderId="0" xfId="106" applyNumberFormat="1" applyFont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8" fillId="0" borderId="42" xfId="99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/>
    </xf>
    <xf numFmtId="164" fontId="8" fillId="0" borderId="43" xfId="99" quotePrefix="1" applyNumberFormat="1" applyFont="1" applyFill="1" applyBorder="1" applyAlignment="1">
      <alignment horizontal="center" vertical="center" wrapText="1"/>
    </xf>
    <xf numFmtId="164" fontId="8" fillId="0" borderId="44" xfId="99" applyNumberFormat="1" applyFont="1" applyFill="1" applyBorder="1" applyAlignment="1">
      <alignment horizontal="center" vertical="center" wrapText="1"/>
    </xf>
    <xf numFmtId="164" fontId="8" fillId="0" borderId="42" xfId="0" applyNumberFormat="1" applyFont="1" applyFill="1" applyBorder="1" applyAlignment="1">
      <alignment horizontal="centerContinuous" vertical="center"/>
    </xf>
    <xf numFmtId="164" fontId="8" fillId="0" borderId="43" xfId="99" applyNumberFormat="1" applyFont="1" applyFill="1" applyBorder="1" applyAlignment="1">
      <alignment horizontal="center" vertical="center" wrapText="1"/>
    </xf>
    <xf numFmtId="166" fontId="7" fillId="0" borderId="0" xfId="28" applyNumberFormat="1" applyFont="1" applyAlignment="1">
      <alignment vertical="center"/>
    </xf>
    <xf numFmtId="10" fontId="7" fillId="0" borderId="0" xfId="106" applyNumberFormat="1" applyFont="1" applyAlignment="1">
      <alignment vertical="center"/>
    </xf>
    <xf numFmtId="169" fontId="7" fillId="0" borderId="0" xfId="106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174" fontId="5" fillId="0" borderId="0" xfId="28" applyNumberFormat="1" applyFont="1" applyAlignment="1">
      <alignment vertical="center"/>
    </xf>
    <xf numFmtId="10" fontId="7" fillId="0" borderId="0" xfId="106" applyNumberFormat="1" applyFont="1" applyAlignment="1">
      <alignment horizontal="left" vertical="center"/>
    </xf>
    <xf numFmtId="0" fontId="5" fillId="0" borderId="0" xfId="99" applyFont="1" applyAlignment="1">
      <alignment horizontal="left" vertical="center"/>
    </xf>
    <xf numFmtId="0" fontId="8" fillId="24" borderId="27" xfId="99" applyFont="1" applyFill="1" applyBorder="1" applyAlignment="1">
      <alignment horizontal="center"/>
    </xf>
    <xf numFmtId="0" fontId="8" fillId="24" borderId="63" xfId="99" applyFont="1" applyFill="1" applyBorder="1" applyAlignment="1">
      <alignment horizontal="center" wrapText="1"/>
    </xf>
    <xf numFmtId="0" fontId="8" fillId="24" borderId="29" xfId="99" applyFont="1" applyFill="1" applyBorder="1" applyAlignment="1">
      <alignment horizontal="center" wrapText="1"/>
    </xf>
    <xf numFmtId="0" fontId="8" fillId="24" borderId="30" xfId="99" applyFont="1" applyFill="1" applyBorder="1" applyAlignment="1">
      <alignment horizontal="center" wrapText="1"/>
    </xf>
    <xf numFmtId="0" fontId="8" fillId="24" borderId="31" xfId="99" applyFont="1" applyFill="1" applyBorder="1" applyAlignment="1">
      <alignment horizontal="center" wrapText="1"/>
    </xf>
    <xf numFmtId="0" fontId="8" fillId="24" borderId="25" xfId="99" applyFont="1" applyFill="1" applyBorder="1" applyAlignment="1">
      <alignment horizontal="centerContinuous" vertical="center"/>
    </xf>
    <xf numFmtId="0" fontId="5" fillId="24" borderId="23" xfId="99" applyFont="1" applyFill="1" applyBorder="1" applyAlignment="1">
      <alignment horizontal="centerContinuous" vertical="center"/>
    </xf>
    <xf numFmtId="0" fontId="8" fillId="0" borderId="50" xfId="99" applyFont="1" applyBorder="1" applyAlignment="1">
      <alignment vertical="center"/>
    </xf>
    <xf numFmtId="165" fontId="8" fillId="24" borderId="33" xfId="102" applyFont="1" applyFill="1" applyBorder="1" applyAlignment="1">
      <alignment horizontal="centerContinuous" vertical="center"/>
    </xf>
    <xf numFmtId="0" fontId="5" fillId="24" borderId="36" xfId="99" applyFont="1" applyFill="1" applyBorder="1" applyAlignment="1">
      <alignment horizontal="centerContinuous" vertical="center"/>
    </xf>
    <xf numFmtId="0" fontId="8" fillId="24" borderId="25" xfId="99" applyFont="1" applyFill="1" applyBorder="1" applyAlignment="1">
      <alignment horizontal="centerContinuous" vertical="center" wrapText="1"/>
    </xf>
    <xf numFmtId="0" fontId="8" fillId="24" borderId="23" xfId="99" applyFont="1" applyFill="1" applyBorder="1" applyAlignment="1">
      <alignment horizontal="centerContinuous" vertical="center" wrapText="1"/>
    </xf>
    <xf numFmtId="0" fontId="5" fillId="24" borderId="24" xfId="99" applyFont="1" applyFill="1" applyBorder="1" applyAlignment="1">
      <alignment horizontal="centerContinuous" vertical="center"/>
    </xf>
    <xf numFmtId="165" fontId="8" fillId="24" borderId="31" xfId="102" applyFont="1" applyFill="1" applyBorder="1" applyAlignment="1">
      <alignment horizontal="center" wrapText="1"/>
    </xf>
    <xf numFmtId="166" fontId="5" fillId="0" borderId="22" xfId="99" applyNumberFormat="1" applyFont="1" applyBorder="1" applyAlignment="1">
      <alignment vertical="center"/>
    </xf>
    <xf numFmtId="165" fontId="8" fillId="24" borderId="11" xfId="102" applyFont="1" applyFill="1" applyBorder="1" applyAlignment="1">
      <alignment horizontal="center" vertical="center" wrapText="1"/>
    </xf>
    <xf numFmtId="0" fontId="8" fillId="24" borderId="11" xfId="0" applyFont="1" applyFill="1" applyBorder="1" applyAlignment="1">
      <alignment horizontal="center" vertical="center" wrapText="1"/>
    </xf>
    <xf numFmtId="0" fontId="8" fillId="24" borderId="29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6" fillId="25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64" xfId="99" applyFont="1" applyBorder="1" applyAlignment="1">
      <alignment vertical="center"/>
    </xf>
    <xf numFmtId="0" fontId="8" fillId="25" borderId="45" xfId="99" applyFont="1" applyFill="1" applyBorder="1" applyAlignment="1">
      <alignment horizontal="center" vertical="center" wrapText="1"/>
    </xf>
    <xf numFmtId="0" fontId="8" fillId="25" borderId="62" xfId="99" applyFont="1" applyFill="1" applyBorder="1" applyAlignment="1">
      <alignment horizontal="center" vertical="center" wrapText="1"/>
    </xf>
    <xf numFmtId="0" fontId="8" fillId="25" borderId="46" xfId="99" applyFont="1" applyFill="1" applyBorder="1" applyAlignment="1">
      <alignment horizontal="center" vertical="center" wrapText="1"/>
    </xf>
    <xf numFmtId="0" fontId="8" fillId="25" borderId="65" xfId="99" applyFont="1" applyFill="1" applyBorder="1" applyAlignment="1">
      <alignment horizontal="center" vertical="center" wrapText="1"/>
    </xf>
    <xf numFmtId="0" fontId="8" fillId="25" borderId="37" xfId="99" applyFont="1" applyFill="1" applyBorder="1" applyAlignment="1">
      <alignment horizontal="center" vertical="center" wrapText="1"/>
    </xf>
    <xf numFmtId="0" fontId="8" fillId="25" borderId="66" xfId="99" applyFont="1" applyFill="1" applyBorder="1" applyAlignment="1">
      <alignment horizontal="center" vertical="center" wrapText="1"/>
    </xf>
    <xf numFmtId="0" fontId="8" fillId="0" borderId="38" xfId="0" quotePrefix="1" applyFont="1" applyFill="1" applyBorder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66" fontId="8" fillId="0" borderId="30" xfId="28" applyNumberFormat="1" applyFont="1" applyBorder="1" applyAlignment="1">
      <alignment vertical="center" wrapText="1"/>
    </xf>
    <xf numFmtId="166" fontId="5" fillId="0" borderId="0" xfId="28" applyNumberFormat="1" applyFont="1" applyFill="1" applyBorder="1" applyAlignment="1">
      <alignment vertical="center"/>
    </xf>
    <xf numFmtId="44" fontId="8" fillId="0" borderId="30" xfId="45" applyFont="1" applyBorder="1" applyAlignment="1">
      <alignment horizontal="center" vertical="center" wrapText="1"/>
    </xf>
    <xf numFmtId="44" fontId="5" fillId="0" borderId="32" xfId="45" applyFont="1" applyBorder="1" applyAlignment="1">
      <alignment horizontal="center" vertical="center" wrapText="1"/>
    </xf>
    <xf numFmtId="44" fontId="5" fillId="0" borderId="45" xfId="45" applyFont="1" applyBorder="1" applyAlignment="1">
      <alignment horizontal="center" vertical="center" wrapText="1"/>
    </xf>
    <xf numFmtId="44" fontId="8" fillId="0" borderId="14" xfId="45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165" fontId="8" fillId="24" borderId="28" xfId="102" applyFont="1" applyFill="1" applyBorder="1" applyAlignment="1">
      <alignment horizontal="center" vertical="center" wrapText="1"/>
    </xf>
    <xf numFmtId="0" fontId="5" fillId="25" borderId="24" xfId="0" applyFont="1" applyFill="1" applyBorder="1" applyAlignment="1">
      <alignment horizontal="centerContinuous"/>
    </xf>
    <xf numFmtId="44" fontId="5" fillId="26" borderId="29" xfId="45" applyFont="1" applyFill="1" applyBorder="1" applyAlignment="1">
      <alignment horizontal="center" vertical="center" wrapText="1"/>
    </xf>
    <xf numFmtId="44" fontId="5" fillId="26" borderId="21" xfId="45" applyFont="1" applyFill="1" applyBorder="1" applyAlignment="1">
      <alignment horizontal="center" vertical="center" wrapText="1"/>
    </xf>
    <xf numFmtId="164" fontId="5" fillId="0" borderId="0" xfId="106" applyNumberFormat="1" applyFont="1" applyFill="1" applyBorder="1" applyAlignment="1">
      <alignment vertical="center"/>
    </xf>
    <xf numFmtId="43" fontId="5" fillId="0" borderId="0" xfId="28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5" fontId="8" fillId="24" borderId="14" xfId="102" applyFont="1" applyFill="1" applyBorder="1" applyAlignment="1">
      <alignment horizontal="center" vertical="center" wrapText="1"/>
    </xf>
    <xf numFmtId="165" fontId="8" fillId="24" borderId="30" xfId="102" applyFont="1" applyFill="1" applyBorder="1" applyAlignment="1">
      <alignment horizontal="center" vertical="center" wrapText="1"/>
    </xf>
    <xf numFmtId="166" fontId="8" fillId="0" borderId="69" xfId="28" quotePrefix="1" applyNumberFormat="1" applyFont="1" applyBorder="1" applyAlignment="1">
      <alignment horizontal="right" vertical="center"/>
    </xf>
    <xf numFmtId="165" fontId="8" fillId="24" borderId="70" xfId="102" applyFont="1" applyFill="1" applyBorder="1" applyAlignment="1">
      <alignment horizontal="center" vertical="center" wrapText="1"/>
    </xf>
    <xf numFmtId="0" fontId="8" fillId="0" borderId="71" xfId="0" applyFont="1" applyBorder="1" applyAlignment="1">
      <alignment vertical="center"/>
    </xf>
    <xf numFmtId="165" fontId="8" fillId="24" borderId="26" xfId="102" applyFont="1" applyFill="1" applyBorder="1" applyAlignment="1">
      <alignment horizontal="center" vertical="center" wrapText="1"/>
    </xf>
    <xf numFmtId="166" fontId="8" fillId="0" borderId="72" xfId="28" quotePrefix="1" applyNumberFormat="1" applyFont="1" applyBorder="1" applyAlignment="1">
      <alignment horizontal="right" vertical="center"/>
    </xf>
    <xf numFmtId="0" fontId="8" fillId="24" borderId="14" xfId="0" applyFont="1" applyFill="1" applyBorder="1" applyAlignment="1">
      <alignment horizontal="center" vertical="center" wrapText="1"/>
    </xf>
    <xf numFmtId="0" fontId="8" fillId="24" borderId="30" xfId="0" applyFont="1" applyFill="1" applyBorder="1" applyAlignment="1">
      <alignment horizontal="center" vertical="center" wrapText="1"/>
    </xf>
    <xf numFmtId="3" fontId="5" fillId="0" borderId="13" xfId="0" applyNumberFormat="1" applyFont="1" applyBorder="1" applyAlignment="1">
      <alignment vertical="center"/>
    </xf>
    <xf numFmtId="166" fontId="5" fillId="0" borderId="16" xfId="28" applyNumberFormat="1" applyFont="1" applyBorder="1" applyAlignment="1">
      <alignment vertical="center" wrapText="1"/>
    </xf>
    <xf numFmtId="0" fontId="8" fillId="24" borderId="73" xfId="99" applyFont="1" applyFill="1" applyBorder="1" applyAlignment="1">
      <alignment horizontal="center" wrapText="1"/>
    </xf>
    <xf numFmtId="0" fontId="8" fillId="24" borderId="70" xfId="99" quotePrefix="1" applyFont="1" applyFill="1" applyBorder="1" applyAlignment="1">
      <alignment horizontal="center" vertical="center" wrapText="1"/>
    </xf>
    <xf numFmtId="166" fontId="8" fillId="0" borderId="18" xfId="28" applyNumberFormat="1" applyFont="1" applyBorder="1" applyAlignment="1">
      <alignment vertical="center" wrapText="1"/>
    </xf>
    <xf numFmtId="49" fontId="8" fillId="25" borderId="28" xfId="99" applyNumberFormat="1" applyFont="1" applyFill="1" applyBorder="1" applyAlignment="1">
      <alignment horizontal="center" vertical="center" wrapText="1"/>
    </xf>
    <xf numFmtId="165" fontId="8" fillId="25" borderId="25" xfId="102" applyFont="1" applyFill="1" applyBorder="1" applyAlignment="1">
      <alignment horizontal="centerContinuous" vertical="center"/>
    </xf>
    <xf numFmtId="0" fontId="8" fillId="25" borderId="29" xfId="99" quotePrefix="1" applyFont="1" applyFill="1" applyBorder="1" applyAlignment="1">
      <alignment horizontal="center" vertical="center" wrapText="1"/>
    </xf>
    <xf numFmtId="44" fontId="5" fillId="0" borderId="74" xfId="45" applyFont="1" applyBorder="1" applyAlignment="1">
      <alignment horizontal="center" vertical="center" wrapText="1"/>
    </xf>
    <xf numFmtId="164" fontId="8" fillId="0" borderId="75" xfId="45" applyNumberFormat="1" applyFont="1" applyBorder="1" applyAlignment="1">
      <alignment horizontal="center" vertical="center" wrapText="1"/>
    </xf>
    <xf numFmtId="0" fontId="8" fillId="0" borderId="63" xfId="99" quotePrefix="1" applyFont="1" applyFill="1" applyBorder="1" applyAlignment="1">
      <alignment horizontal="center" vertical="center" wrapText="1"/>
    </xf>
    <xf numFmtId="0" fontId="8" fillId="0" borderId="70" xfId="99" applyFont="1" applyFill="1" applyBorder="1" applyAlignment="1">
      <alignment horizontal="center" vertical="center" wrapText="1"/>
    </xf>
    <xf numFmtId="165" fontId="8" fillId="25" borderId="76" xfId="102" applyFont="1" applyFill="1" applyBorder="1" applyAlignment="1">
      <alignment horizontal="center" vertical="center"/>
    </xf>
    <xf numFmtId="165" fontId="8" fillId="25" borderId="77" xfId="102" quotePrefix="1" applyFont="1" applyFill="1" applyBorder="1" applyAlignment="1">
      <alignment horizontal="center" vertical="center" wrapText="1"/>
    </xf>
    <xf numFmtId="165" fontId="8" fillId="25" borderId="77" xfId="102" applyFont="1" applyFill="1" applyBorder="1" applyAlignment="1">
      <alignment horizontal="center" vertical="center" wrapText="1"/>
    </xf>
    <xf numFmtId="165" fontId="8" fillId="25" borderId="78" xfId="102" quotePrefix="1" applyFont="1" applyFill="1" applyBorder="1" applyAlignment="1">
      <alignment horizontal="center" vertical="center" wrapText="1"/>
    </xf>
    <xf numFmtId="0" fontId="8" fillId="0" borderId="22" xfId="99" applyFont="1" applyBorder="1" applyAlignment="1">
      <alignment vertical="center"/>
    </xf>
    <xf numFmtId="165" fontId="6" fillId="0" borderId="0" xfId="102" quotePrefix="1" applyFont="1" applyAlignment="1">
      <alignment horizontal="centerContinuous"/>
    </xf>
    <xf numFmtId="0" fontId="0" fillId="0" borderId="0" xfId="0" applyAlignment="1">
      <alignment horizontal="centerContinuous"/>
    </xf>
    <xf numFmtId="49" fontId="8" fillId="25" borderId="22" xfId="99" applyNumberFormat="1" applyFont="1" applyFill="1" applyBorder="1" applyAlignment="1">
      <alignment horizontal="center" vertical="center" wrapText="1"/>
    </xf>
    <xf numFmtId="165" fontId="8" fillId="25" borderId="42" xfId="102" applyFont="1" applyFill="1" applyBorder="1" applyAlignment="1">
      <alignment horizontal="centerContinuous" vertical="center"/>
    </xf>
    <xf numFmtId="175" fontId="8" fillId="25" borderId="43" xfId="0" quotePrefix="1" applyNumberFormat="1" applyFont="1" applyFill="1" applyBorder="1" applyAlignment="1">
      <alignment horizontal="center" vertical="center"/>
    </xf>
    <xf numFmtId="175" fontId="8" fillId="25" borderId="43" xfId="0" applyNumberFormat="1" applyFont="1" applyFill="1" applyBorder="1" applyAlignment="1">
      <alignment horizontal="center" vertical="center"/>
    </xf>
    <xf numFmtId="0" fontId="8" fillId="25" borderId="43" xfId="0" applyFont="1" applyFill="1" applyBorder="1" applyAlignment="1">
      <alignment horizontal="center" vertical="center"/>
    </xf>
    <xf numFmtId="0" fontId="5" fillId="25" borderId="42" xfId="0" applyFont="1" applyFill="1" applyBorder="1"/>
    <xf numFmtId="0" fontId="5" fillId="25" borderId="43" xfId="0" applyFont="1" applyFill="1" applyBorder="1"/>
    <xf numFmtId="0" fontId="5" fillId="25" borderId="79" xfId="0" applyFont="1" applyFill="1" applyBorder="1"/>
    <xf numFmtId="0" fontId="8" fillId="25" borderId="43" xfId="0" applyFont="1" applyFill="1" applyBorder="1" applyAlignment="1">
      <alignment horizontal="center"/>
    </xf>
    <xf numFmtId="165" fontId="8" fillId="25" borderId="43" xfId="102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0" fontId="8" fillId="25" borderId="80" xfId="0" applyFont="1" applyFill="1" applyBorder="1" applyAlignment="1">
      <alignment horizontal="centerContinuous"/>
    </xf>
    <xf numFmtId="0" fontId="8" fillId="25" borderId="81" xfId="0" applyFont="1" applyFill="1" applyBorder="1" applyAlignment="1">
      <alignment horizontal="centerContinuous"/>
    </xf>
    <xf numFmtId="0" fontId="8" fillId="25" borderId="82" xfId="0" applyFont="1" applyFill="1" applyBorder="1" applyAlignment="1">
      <alignment horizontal="centerContinuous" vertical="center"/>
    </xf>
    <xf numFmtId="0" fontId="5" fillId="0" borderId="83" xfId="0" applyFont="1" applyBorder="1"/>
    <xf numFmtId="49" fontId="5" fillId="25" borderId="22" xfId="99" applyNumberFormat="1" applyFont="1" applyFill="1" applyBorder="1" applyAlignment="1">
      <alignment horizontal="center" vertical="center" wrapText="1"/>
    </xf>
    <xf numFmtId="49" fontId="8" fillId="25" borderId="43" xfId="99" applyNumberFormat="1" applyFont="1" applyFill="1" applyBorder="1" applyAlignment="1">
      <alignment horizontal="center" vertical="center" wrapText="1"/>
    </xf>
    <xf numFmtId="0" fontId="8" fillId="25" borderId="43" xfId="99" applyFont="1" applyFill="1" applyBorder="1" applyAlignment="1">
      <alignment horizontal="center" vertical="center" wrapText="1"/>
    </xf>
    <xf numFmtId="0" fontId="8" fillId="25" borderId="79" xfId="99" applyFont="1" applyFill="1" applyBorder="1" applyAlignment="1">
      <alignment horizontal="center" vertical="center" wrapText="1"/>
    </xf>
    <xf numFmtId="166" fontId="5" fillId="28" borderId="31" xfId="28" applyNumberFormat="1" applyFont="1" applyFill="1" applyBorder="1" applyAlignment="1">
      <alignment vertical="center" wrapText="1"/>
    </xf>
    <xf numFmtId="44" fontId="5" fillId="28" borderId="29" xfId="45" applyFont="1" applyFill="1" applyBorder="1" applyAlignment="1">
      <alignment horizontal="center" vertical="center" wrapText="1"/>
    </xf>
    <xf numFmtId="44" fontId="5" fillId="28" borderId="30" xfId="45" applyFont="1" applyFill="1" applyBorder="1" applyAlignment="1">
      <alignment horizontal="center" vertical="center" wrapText="1"/>
    </xf>
    <xf numFmtId="166" fontId="5" fillId="28" borderId="27" xfId="28" applyNumberFormat="1" applyFont="1" applyFill="1" applyBorder="1" applyAlignment="1">
      <alignment vertical="center" wrapText="1"/>
    </xf>
    <xf numFmtId="44" fontId="5" fillId="28" borderId="21" xfId="45" applyFont="1" applyFill="1" applyBorder="1" applyAlignment="1">
      <alignment horizontal="center" vertical="center" wrapText="1"/>
    </xf>
    <xf numFmtId="0" fontId="8" fillId="28" borderId="81" xfId="0" applyFont="1" applyFill="1" applyBorder="1" applyAlignment="1">
      <alignment horizontal="centerContinuous"/>
    </xf>
    <xf numFmtId="0" fontId="8" fillId="28" borderId="82" xfId="0" applyFont="1" applyFill="1" applyBorder="1" applyAlignment="1">
      <alignment horizontal="centerContinuous" vertical="center"/>
    </xf>
    <xf numFmtId="44" fontId="8" fillId="26" borderId="22" xfId="45" applyFont="1" applyFill="1" applyBorder="1" applyAlignment="1">
      <alignment horizontal="center" vertical="center" wrapText="1"/>
    </xf>
    <xf numFmtId="44" fontId="5" fillId="0" borderId="14" xfId="45" applyFont="1" applyFill="1" applyBorder="1" applyAlignment="1">
      <alignment horizontal="center" vertical="center" wrapText="1"/>
    </xf>
    <xf numFmtId="44" fontId="5" fillId="26" borderId="30" xfId="45" applyFont="1" applyFill="1" applyBorder="1" applyAlignment="1">
      <alignment horizontal="center" vertical="center" wrapText="1"/>
    </xf>
    <xf numFmtId="0" fontId="8" fillId="25" borderId="42" xfId="99" applyFont="1" applyFill="1" applyBorder="1" applyAlignment="1">
      <alignment horizontal="center" vertical="center" wrapText="1"/>
    </xf>
    <xf numFmtId="0" fontId="8" fillId="0" borderId="83" xfId="0" applyFont="1" applyFill="1" applyBorder="1" applyAlignment="1">
      <alignment horizontal="centerContinuous" vertical="center"/>
    </xf>
    <xf numFmtId="0" fontId="8" fillId="0" borderId="0" xfId="99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8" fillId="0" borderId="0" xfId="99" quotePrefix="1" applyFont="1" applyFill="1" applyBorder="1" applyAlignment="1">
      <alignment horizontal="center" vertical="center" wrapText="1"/>
    </xf>
    <xf numFmtId="0" fontId="8" fillId="28" borderId="80" xfId="0" applyFont="1" applyFill="1" applyBorder="1" applyAlignment="1">
      <alignment horizontal="centerContinuous"/>
    </xf>
    <xf numFmtId="44" fontId="5" fillId="28" borderId="28" xfId="45" applyFont="1" applyFill="1" applyBorder="1" applyAlignment="1">
      <alignment horizontal="center" vertical="center" wrapText="1"/>
    </xf>
    <xf numFmtId="166" fontId="8" fillId="28" borderId="84" xfId="28" applyNumberFormat="1" applyFont="1" applyFill="1" applyBorder="1" applyAlignment="1">
      <alignment vertical="center" wrapText="1"/>
    </xf>
    <xf numFmtId="44" fontId="8" fillId="28" borderId="49" xfId="45" applyFont="1" applyFill="1" applyBorder="1" applyAlignment="1">
      <alignment horizontal="center" vertical="center" wrapText="1"/>
    </xf>
    <xf numFmtId="44" fontId="5" fillId="28" borderId="51" xfId="45" applyFont="1" applyFill="1" applyBorder="1" applyAlignment="1">
      <alignment horizontal="center" vertical="center" wrapText="1"/>
    </xf>
    <xf numFmtId="0" fontId="8" fillId="25" borderId="42" xfId="0" applyFont="1" applyFill="1" applyBorder="1" applyAlignment="1">
      <alignment horizontal="left" vertical="center"/>
    </xf>
    <xf numFmtId="44" fontId="8" fillId="0" borderId="44" xfId="45" applyFont="1" applyBorder="1" applyAlignment="1">
      <alignment horizontal="center" vertical="center" wrapText="1"/>
    </xf>
    <xf numFmtId="44" fontId="8" fillId="0" borderId="43" xfId="45" applyFont="1" applyBorder="1" applyAlignment="1">
      <alignment horizontal="center" vertical="center" wrapText="1"/>
    </xf>
    <xf numFmtId="0" fontId="5" fillId="0" borderId="85" xfId="0" applyFont="1" applyFill="1" applyBorder="1" applyAlignment="1">
      <alignment vertical="center"/>
    </xf>
    <xf numFmtId="3" fontId="5" fillId="0" borderId="0" xfId="0" applyNumberFormat="1" applyFont="1"/>
    <xf numFmtId="0" fontId="0" fillId="0" borderId="0" xfId="0" applyBorder="1"/>
    <xf numFmtId="0" fontId="5" fillId="0" borderId="83" xfId="0" applyFont="1" applyFill="1" applyBorder="1" applyAlignment="1">
      <alignment vertical="center"/>
    </xf>
    <xf numFmtId="44" fontId="8" fillId="0" borderId="47" xfId="99" applyNumberFormat="1" applyFont="1" applyFill="1" applyBorder="1" applyAlignment="1">
      <alignment horizontal="center" vertical="center" wrapText="1"/>
    </xf>
    <xf numFmtId="44" fontId="8" fillId="0" borderId="42" xfId="99" applyNumberFormat="1" applyFont="1" applyFill="1" applyBorder="1" applyAlignment="1">
      <alignment horizontal="center" vertical="center" wrapText="1"/>
    </xf>
    <xf numFmtId="166" fontId="5" fillId="29" borderId="48" xfId="28" quotePrefix="1" applyNumberFormat="1" applyFont="1" applyFill="1" applyBorder="1" applyAlignment="1">
      <alignment horizontal="right" vertical="center"/>
    </xf>
    <xf numFmtId="166" fontId="5" fillId="29" borderId="13" xfId="28" quotePrefix="1" applyNumberFormat="1" applyFont="1" applyFill="1" applyBorder="1" applyAlignment="1">
      <alignment horizontal="right" vertical="center"/>
    </xf>
    <xf numFmtId="166" fontId="5" fillId="29" borderId="26" xfId="28" quotePrefix="1" applyNumberFormat="1" applyFont="1" applyFill="1" applyBorder="1" applyAlignment="1">
      <alignment horizontal="right" vertical="center"/>
    </xf>
    <xf numFmtId="166" fontId="5" fillId="29" borderId="14" xfId="28" quotePrefix="1" applyNumberFormat="1" applyFont="1" applyFill="1" applyBorder="1" applyAlignment="1">
      <alignment horizontal="right" vertical="center"/>
    </xf>
    <xf numFmtId="166" fontId="5" fillId="29" borderId="10" xfId="28" quotePrefix="1" applyNumberFormat="1" applyFont="1" applyFill="1" applyBorder="1" applyAlignment="1">
      <alignment horizontal="right" vertical="center"/>
    </xf>
    <xf numFmtId="166" fontId="5" fillId="29" borderId="11" xfId="28" quotePrefix="1" applyNumberFormat="1" applyFont="1" applyFill="1" applyBorder="1" applyAlignment="1">
      <alignment horizontal="right" vertical="center"/>
    </xf>
    <xf numFmtId="3" fontId="5" fillId="29" borderId="10" xfId="0" applyNumberFormat="1" applyFont="1" applyFill="1" applyBorder="1" applyAlignment="1">
      <alignment vertical="center"/>
    </xf>
    <xf numFmtId="3" fontId="5" fillId="29" borderId="11" xfId="0" applyNumberFormat="1" applyFont="1" applyFill="1" applyBorder="1" applyAlignment="1">
      <alignment vertical="center"/>
    </xf>
    <xf numFmtId="165" fontId="6" fillId="0" borderId="0" xfId="102" applyFont="1" applyFill="1" applyAlignment="1">
      <alignment horizontal="centerContinuous" vertical="center"/>
    </xf>
    <xf numFmtId="0" fontId="5" fillId="30" borderId="0" xfId="97" applyFont="1" applyFill="1" applyAlignment="1">
      <alignment horizontal="left" vertical="top"/>
    </xf>
    <xf numFmtId="0" fontId="5" fillId="30" borderId="0" xfId="97" applyFont="1" applyFill="1" applyAlignment="1">
      <alignment wrapText="1"/>
    </xf>
    <xf numFmtId="165" fontId="5" fillId="30" borderId="86" xfId="102" applyFont="1" applyFill="1" applyBorder="1" applyAlignment="1">
      <alignment horizontal="left" vertical="center"/>
    </xf>
    <xf numFmtId="165" fontId="5" fillId="30" borderId="73" xfId="102" applyFont="1" applyFill="1" applyBorder="1" applyAlignment="1">
      <alignment horizontal="left" vertical="center"/>
    </xf>
    <xf numFmtId="167" fontId="5" fillId="29" borderId="48" xfId="45" applyNumberFormat="1" applyFont="1" applyFill="1" applyBorder="1" applyAlignment="1">
      <alignment horizontal="center" vertical="center" wrapText="1"/>
    </xf>
    <xf numFmtId="167" fontId="5" fillId="29" borderId="10" xfId="45" applyNumberFormat="1" applyFont="1" applyFill="1" applyBorder="1" applyAlignment="1">
      <alignment horizontal="center" vertical="center" wrapText="1"/>
    </xf>
    <xf numFmtId="167" fontId="5" fillId="29" borderId="26" xfId="45" applyNumberFormat="1" applyFont="1" applyFill="1" applyBorder="1" applyAlignment="1">
      <alignment horizontal="center" vertical="center" wrapText="1"/>
    </xf>
    <xf numFmtId="167" fontId="5" fillId="29" borderId="11" xfId="45" applyNumberFormat="1" applyFont="1" applyFill="1" applyBorder="1" applyAlignment="1">
      <alignment horizontal="center" vertical="center" wrapText="1"/>
    </xf>
    <xf numFmtId="0" fontId="5" fillId="29" borderId="0" xfId="99" applyFont="1" applyFill="1" applyAlignment="1">
      <alignment horizontal="left" vertical="center"/>
    </xf>
    <xf numFmtId="0" fontId="7" fillId="29" borderId="10" xfId="0" applyFont="1" applyFill="1" applyBorder="1" applyAlignment="1">
      <alignment horizontal="center" vertical="center"/>
    </xf>
    <xf numFmtId="164" fontId="5" fillId="29" borderId="10" xfId="106" applyNumberFormat="1" applyFont="1" applyFill="1" applyBorder="1" applyAlignment="1">
      <alignment horizontal="center" vertical="center" wrapText="1"/>
    </xf>
    <xf numFmtId="164" fontId="5" fillId="29" borderId="10" xfId="106" applyNumberFormat="1" applyFont="1" applyFill="1" applyBorder="1" applyAlignment="1">
      <alignment horizontal="center" vertical="center"/>
    </xf>
    <xf numFmtId="164" fontId="5" fillId="29" borderId="15" xfId="106" applyNumberFormat="1" applyFont="1" applyFill="1" applyBorder="1" applyAlignment="1">
      <alignment horizontal="center" vertical="center"/>
    </xf>
    <xf numFmtId="164" fontId="5" fillId="29" borderId="15" xfId="106" applyNumberFormat="1" applyFont="1" applyFill="1" applyBorder="1" applyAlignment="1">
      <alignment horizontal="center" vertical="center" wrapText="1"/>
    </xf>
    <xf numFmtId="0" fontId="8" fillId="30" borderId="22" xfId="99" applyFont="1" applyFill="1" applyBorder="1" applyAlignment="1">
      <alignment horizontal="center" vertical="center" wrapText="1"/>
    </xf>
    <xf numFmtId="0" fontId="5" fillId="31" borderId="0" xfId="0" applyFont="1" applyFill="1" applyBorder="1" applyAlignment="1">
      <alignment vertical="center"/>
    </xf>
    <xf numFmtId="44" fontId="5" fillId="32" borderId="37" xfId="45" applyFont="1" applyFill="1" applyBorder="1" applyAlignment="1">
      <alignment horizontal="center" vertical="center" wrapText="1"/>
    </xf>
    <xf numFmtId="44" fontId="5" fillId="32" borderId="87" xfId="45" applyFont="1" applyFill="1" applyBorder="1" applyAlignment="1">
      <alignment horizontal="center" vertical="center" wrapText="1"/>
    </xf>
    <xf numFmtId="44" fontId="5" fillId="32" borderId="10" xfId="45" applyFont="1" applyFill="1" applyBorder="1" applyAlignment="1">
      <alignment horizontal="center" vertical="center" wrapText="1"/>
    </xf>
    <xf numFmtId="44" fontId="5" fillId="32" borderId="54" xfId="45" applyFont="1" applyFill="1" applyBorder="1" applyAlignment="1">
      <alignment horizontal="center" vertical="center" wrapText="1"/>
    </xf>
    <xf numFmtId="44" fontId="5" fillId="32" borderId="11" xfId="45" applyFont="1" applyFill="1" applyBorder="1" applyAlignment="1">
      <alignment horizontal="center" vertical="center" wrapText="1"/>
    </xf>
    <xf numFmtId="44" fontId="5" fillId="32" borderId="74" xfId="45" applyFont="1" applyFill="1" applyBorder="1" applyAlignment="1">
      <alignment horizontal="center" vertical="center" wrapText="1"/>
    </xf>
    <xf numFmtId="0" fontId="5" fillId="32" borderId="0" xfId="0" applyFont="1" applyFill="1" applyBorder="1" applyAlignment="1">
      <alignment vertical="center"/>
    </xf>
    <xf numFmtId="37" fontId="10" fillId="0" borderId="0" xfId="101" applyFont="1" applyFill="1" applyBorder="1" applyAlignment="1" applyProtection="1">
      <alignment horizontal="left"/>
    </xf>
    <xf numFmtId="0" fontId="5" fillId="0" borderId="10" xfId="0" applyFont="1" applyFill="1" applyBorder="1" applyAlignment="1">
      <alignment vertical="center"/>
    </xf>
    <xf numFmtId="164" fontId="8" fillId="0" borderId="70" xfId="45" applyNumberFormat="1" applyFont="1" applyFill="1" applyBorder="1" applyAlignment="1">
      <alignment horizontal="center" vertical="center" wrapText="1"/>
    </xf>
    <xf numFmtId="164" fontId="8" fillId="0" borderId="80" xfId="45" applyNumberFormat="1" applyFont="1" applyFill="1" applyBorder="1" applyAlignment="1">
      <alignment horizontal="center" vertical="center" wrapText="1"/>
    </xf>
    <xf numFmtId="164" fontId="8" fillId="0" borderId="44" xfId="45" applyNumberFormat="1" applyFont="1" applyFill="1" applyBorder="1" applyAlignment="1">
      <alignment horizontal="center" vertical="center" wrapText="1"/>
    </xf>
    <xf numFmtId="164" fontId="8" fillId="0" borderId="57" xfId="45" applyNumberFormat="1" applyFont="1" applyFill="1" applyBorder="1" applyAlignment="1">
      <alignment horizontal="center" vertical="center" wrapText="1"/>
    </xf>
    <xf numFmtId="164" fontId="8" fillId="0" borderId="0" xfId="45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25" borderId="61" xfId="0" applyFont="1" applyFill="1" applyBorder="1" applyAlignment="1">
      <alignment vertical="center"/>
    </xf>
    <xf numFmtId="0" fontId="5" fillId="25" borderId="32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8" fillId="0" borderId="72" xfId="99" applyFont="1" applyFill="1" applyBorder="1" applyAlignment="1">
      <alignment vertical="center" wrapText="1"/>
    </xf>
    <xf numFmtId="43" fontId="5" fillId="0" borderId="10" xfId="28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6" fontId="7" fillId="29" borderId="0" xfId="0" applyNumberFormat="1" applyFont="1" applyFill="1" applyAlignment="1">
      <alignment vertical="center"/>
    </xf>
    <xf numFmtId="0" fontId="7" fillId="33" borderId="0" xfId="0" applyNumberFormat="1" applyFont="1" applyFill="1" applyAlignment="1">
      <alignment vertical="center"/>
    </xf>
    <xf numFmtId="0" fontId="7" fillId="33" borderId="0" xfId="0" applyFont="1" applyFill="1" applyAlignment="1">
      <alignment vertical="center"/>
    </xf>
    <xf numFmtId="176" fontId="7" fillId="33" borderId="0" xfId="0" applyNumberFormat="1" applyFont="1" applyFill="1" applyAlignment="1">
      <alignment vertical="center"/>
    </xf>
    <xf numFmtId="0" fontId="12" fillId="29" borderId="0" xfId="0" applyFont="1" applyFill="1" applyAlignment="1">
      <alignment vertical="center"/>
    </xf>
    <xf numFmtId="176" fontId="8" fillId="24" borderId="31" xfId="102" applyNumberFormat="1" applyFont="1" applyFill="1" applyBorder="1" applyAlignment="1">
      <alignment horizontal="center" vertical="center" wrapText="1"/>
    </xf>
    <xf numFmtId="176" fontId="8" fillId="24" borderId="30" xfId="102" applyNumberFormat="1" applyFont="1" applyFill="1" applyBorder="1" applyAlignment="1">
      <alignment horizontal="center" vertical="center" wrapText="1"/>
    </xf>
    <xf numFmtId="176" fontId="8" fillId="31" borderId="31" xfId="102" applyNumberFormat="1" applyFont="1" applyFill="1" applyBorder="1" applyAlignment="1">
      <alignment horizontal="center" vertical="center" wrapText="1"/>
    </xf>
    <xf numFmtId="176" fontId="8" fillId="31" borderId="29" xfId="102" applyNumberFormat="1" applyFont="1" applyFill="1" applyBorder="1" applyAlignment="1">
      <alignment horizontal="center" vertical="center" wrapText="1"/>
    </xf>
    <xf numFmtId="176" fontId="8" fillId="25" borderId="79" xfId="0" quotePrefix="1" applyNumberFormat="1" applyFont="1" applyFill="1" applyBorder="1" applyAlignment="1">
      <alignment horizontal="center" vertical="center"/>
    </xf>
    <xf numFmtId="176" fontId="8" fillId="25" borderId="79" xfId="0" applyNumberFormat="1" applyFont="1" applyFill="1" applyBorder="1" applyAlignment="1">
      <alignment horizontal="center" vertical="center"/>
    </xf>
    <xf numFmtId="176" fontId="0" fillId="0" borderId="0" xfId="0" applyNumberFormat="1"/>
    <xf numFmtId="0" fontId="5" fillId="31" borderId="0" xfId="0" applyFont="1" applyFill="1" applyAlignment="1">
      <alignment vertical="center"/>
    </xf>
    <xf numFmtId="0" fontId="5" fillId="31" borderId="0" xfId="0" applyFont="1" applyFill="1"/>
    <xf numFmtId="164" fontId="8" fillId="0" borderId="0" xfId="106" applyNumberFormat="1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6" fontId="8" fillId="0" borderId="20" xfId="28" quotePrefix="1" applyNumberFormat="1" applyFont="1" applyBorder="1" applyAlignment="1">
      <alignment horizontal="right" vertical="center"/>
    </xf>
    <xf numFmtId="165" fontId="8" fillId="24" borderId="88" xfId="102" applyFont="1" applyFill="1" applyBorder="1" applyAlignment="1">
      <alignment horizontal="center" vertical="center" wrapText="1"/>
    </xf>
    <xf numFmtId="164" fontId="8" fillId="0" borderId="73" xfId="106" applyNumberFormat="1" applyFont="1" applyBorder="1" applyAlignment="1">
      <alignment vertical="center"/>
    </xf>
    <xf numFmtId="164" fontId="8" fillId="0" borderId="26" xfId="106" applyNumberFormat="1" applyFont="1" applyBorder="1" applyAlignment="1">
      <alignment vertical="center"/>
    </xf>
    <xf numFmtId="164" fontId="8" fillId="0" borderId="11" xfId="106" applyNumberFormat="1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164" fontId="8" fillId="0" borderId="67" xfId="0" applyNumberFormat="1" applyFont="1" applyBorder="1" applyAlignment="1">
      <alignment vertical="center"/>
    </xf>
    <xf numFmtId="0" fontId="5" fillId="36" borderId="46" xfId="0" applyFont="1" applyFill="1" applyBorder="1" applyAlignment="1">
      <alignment vertical="center"/>
    </xf>
    <xf numFmtId="0" fontId="5" fillId="36" borderId="0" xfId="0" applyFont="1" applyFill="1" applyBorder="1" applyAlignment="1">
      <alignment vertical="center"/>
    </xf>
    <xf numFmtId="165" fontId="8" fillId="24" borderId="10" xfId="102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/>
    </xf>
    <xf numFmtId="43" fontId="5" fillId="0" borderId="0" xfId="28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36" borderId="0" xfId="0" applyFont="1" applyFill="1" applyAlignment="1">
      <alignment vertical="center"/>
    </xf>
    <xf numFmtId="0" fontId="8" fillId="36" borderId="0" xfId="0" applyFont="1" applyFill="1" applyBorder="1" applyAlignment="1">
      <alignment horizontal="centerContinuous" vertical="center"/>
    </xf>
    <xf numFmtId="0" fontId="5" fillId="36" borderId="0" xfId="0" applyFont="1" applyFill="1" applyBorder="1" applyAlignment="1">
      <alignment horizontal="centerContinuous"/>
    </xf>
    <xf numFmtId="0" fontId="8" fillId="36" borderId="0" xfId="99" applyFont="1" applyFill="1" applyBorder="1" applyAlignment="1">
      <alignment horizontal="center" vertical="center" wrapText="1"/>
    </xf>
    <xf numFmtId="44" fontId="5" fillId="36" borderId="0" xfId="45" applyFont="1" applyFill="1" applyBorder="1" applyAlignment="1">
      <alignment horizontal="center" vertical="center" wrapText="1"/>
    </xf>
    <xf numFmtId="44" fontId="8" fillId="36" borderId="0" xfId="45" applyFont="1" applyFill="1" applyBorder="1" applyAlignment="1">
      <alignment horizontal="center" vertical="center" wrapText="1"/>
    </xf>
    <xf numFmtId="0" fontId="8" fillId="36" borderId="0" xfId="0" applyFont="1" applyFill="1" applyBorder="1" applyAlignment="1">
      <alignment vertical="center"/>
    </xf>
    <xf numFmtId="168" fontId="8" fillId="36" borderId="0" xfId="0" applyNumberFormat="1" applyFont="1" applyFill="1" applyBorder="1" applyAlignment="1">
      <alignment vertical="center"/>
    </xf>
    <xf numFmtId="0" fontId="5" fillId="36" borderId="0" xfId="0" applyFont="1" applyFill="1" applyBorder="1"/>
    <xf numFmtId="0" fontId="8" fillId="0" borderId="33" xfId="99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27" xfId="99" quotePrefix="1" applyFont="1" applyFill="1" applyBorder="1" applyAlignment="1">
      <alignment horizontal="center" vertical="center" wrapText="1"/>
    </xf>
    <xf numFmtId="0" fontId="8" fillId="0" borderId="31" xfId="99" applyFont="1" applyFill="1" applyBorder="1" applyAlignment="1">
      <alignment horizontal="center" vertical="center" wrapText="1"/>
    </xf>
    <xf numFmtId="164" fontId="8" fillId="0" borderId="31" xfId="45" applyNumberFormat="1" applyFont="1" applyFill="1" applyBorder="1" applyAlignment="1">
      <alignment horizontal="center" vertical="center" wrapText="1"/>
    </xf>
    <xf numFmtId="164" fontId="8" fillId="0" borderId="48" xfId="45" applyNumberFormat="1" applyFont="1" applyFill="1" applyBorder="1" applyAlignment="1">
      <alignment horizontal="center" vertical="center" wrapText="1"/>
    </xf>
    <xf numFmtId="164" fontId="8" fillId="0" borderId="26" xfId="45" applyNumberFormat="1" applyFont="1" applyFill="1" applyBorder="1" applyAlignment="1">
      <alignment horizontal="center" vertical="center" wrapText="1"/>
    </xf>
    <xf numFmtId="164" fontId="8" fillId="0" borderId="89" xfId="45" applyNumberFormat="1" applyFont="1" applyFill="1" applyBorder="1" applyAlignment="1">
      <alignment horizontal="center" vertical="center" wrapText="1"/>
    </xf>
    <xf numFmtId="164" fontId="8" fillId="0" borderId="50" xfId="45" applyNumberFormat="1" applyFont="1" applyFill="1" applyBorder="1" applyAlignment="1">
      <alignment horizontal="center" vertical="center" wrapText="1"/>
    </xf>
    <xf numFmtId="164" fontId="8" fillId="0" borderId="33" xfId="99" applyNumberFormat="1" applyFont="1" applyFill="1" applyBorder="1" applyAlignment="1">
      <alignment horizontal="center" vertical="center" wrapText="1"/>
    </xf>
    <xf numFmtId="164" fontId="8" fillId="0" borderId="27" xfId="0" applyNumberFormat="1" applyFont="1" applyFill="1" applyBorder="1" applyAlignment="1">
      <alignment horizontal="center" vertical="center"/>
    </xf>
    <xf numFmtId="164" fontId="8" fillId="0" borderId="27" xfId="99" quotePrefix="1" applyNumberFormat="1" applyFont="1" applyFill="1" applyBorder="1" applyAlignment="1">
      <alignment horizontal="center" vertical="center" wrapText="1"/>
    </xf>
    <xf numFmtId="164" fontId="8" fillId="0" borderId="31" xfId="99" applyNumberFormat="1" applyFont="1" applyFill="1" applyBorder="1" applyAlignment="1">
      <alignment horizontal="center" vertical="center" wrapText="1"/>
    </xf>
    <xf numFmtId="164" fontId="8" fillId="0" borderId="64" xfId="45" applyNumberFormat="1" applyFont="1" applyFill="1" applyBorder="1" applyAlignment="1">
      <alignment horizontal="center" vertical="center" wrapText="1"/>
    </xf>
    <xf numFmtId="164" fontId="7" fillId="0" borderId="32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3" fontId="5" fillId="0" borderId="55" xfId="0" applyNumberFormat="1" applyFont="1" applyBorder="1" applyAlignment="1">
      <alignment vertical="center"/>
    </xf>
    <xf numFmtId="3" fontId="5" fillId="0" borderId="56" xfId="0" applyNumberFormat="1" applyFont="1" applyBorder="1" applyAlignment="1">
      <alignment vertical="center"/>
    </xf>
    <xf numFmtId="1" fontId="5" fillId="33" borderId="10" xfId="0" applyNumberFormat="1" applyFont="1" applyFill="1" applyBorder="1" applyAlignment="1">
      <alignment vertical="center"/>
    </xf>
    <xf numFmtId="1" fontId="5" fillId="0" borderId="10" xfId="0" applyNumberFormat="1" applyFont="1" applyFill="1" applyBorder="1" applyAlignment="1">
      <alignment vertical="center"/>
    </xf>
    <xf numFmtId="1" fontId="5" fillId="0" borderId="10" xfId="0" applyNumberFormat="1" applyFont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169" fontId="5" fillId="29" borderId="10" xfId="106" applyNumberFormat="1" applyFont="1" applyFill="1" applyBorder="1" applyAlignment="1">
      <alignment horizontal="center" vertical="center"/>
    </xf>
    <xf numFmtId="0" fontId="7" fillId="36" borderId="0" xfId="0" applyFont="1" applyFill="1" applyAlignment="1">
      <alignment vertical="center"/>
    </xf>
    <xf numFmtId="166" fontId="5" fillId="28" borderId="0" xfId="28" applyNumberFormat="1" applyFont="1" applyFill="1" applyBorder="1" applyAlignment="1">
      <alignment vertical="center" wrapText="1"/>
    </xf>
    <xf numFmtId="165" fontId="5" fillId="25" borderId="0" xfId="102" applyFont="1" applyFill="1" applyBorder="1" applyAlignment="1">
      <alignment horizontal="left" vertical="center"/>
    </xf>
    <xf numFmtId="176" fontId="6" fillId="0" borderId="0" xfId="0" applyNumberFormat="1" applyFont="1"/>
    <xf numFmtId="176" fontId="6" fillId="0" borderId="0" xfId="0" applyNumberFormat="1" applyFont="1" applyFill="1" applyBorder="1" applyAlignment="1">
      <alignment vertical="center"/>
    </xf>
    <xf numFmtId="0" fontId="9" fillId="0" borderId="0" xfId="0" applyFont="1"/>
    <xf numFmtId="0" fontId="8" fillId="0" borderId="0" xfId="0" applyFont="1" applyBorder="1"/>
    <xf numFmtId="0" fontId="5" fillId="37" borderId="0" xfId="0" applyFont="1" applyFill="1" applyBorder="1" applyAlignment="1">
      <alignment vertical="center"/>
    </xf>
    <xf numFmtId="44" fontId="5" fillId="38" borderId="48" xfId="47" applyFont="1" applyFill="1" applyBorder="1" applyAlignment="1">
      <alignment vertical="center" wrapText="1"/>
    </xf>
    <xf numFmtId="44" fontId="5" fillId="32" borderId="90" xfId="47" applyFont="1" applyFill="1" applyBorder="1" applyAlignment="1">
      <alignment horizontal="center" vertical="center" wrapText="1"/>
    </xf>
    <xf numFmtId="44" fontId="5" fillId="38" borderId="10" xfId="47" applyFont="1" applyFill="1" applyBorder="1" applyAlignment="1">
      <alignment horizontal="center" vertical="center" wrapText="1"/>
    </xf>
    <xf numFmtId="44" fontId="5" fillId="38" borderId="13" xfId="47" applyFont="1" applyFill="1" applyBorder="1" applyAlignment="1">
      <alignment horizontal="center" vertical="center" wrapText="1"/>
    </xf>
    <xf numFmtId="177" fontId="8" fillId="25" borderId="31" xfId="102" applyNumberFormat="1" applyFont="1" applyFill="1" applyBorder="1" applyAlignment="1">
      <alignment horizontal="center" vertical="center" wrapText="1"/>
    </xf>
    <xf numFmtId="0" fontId="5" fillId="0" borderId="0" xfId="80" applyFont="1" applyAlignment="1">
      <alignment horizontal="center" vertical="center" wrapText="1"/>
    </xf>
    <xf numFmtId="0" fontId="5" fillId="0" borderId="0" xfId="80" applyFont="1" applyAlignment="1">
      <alignment horizontal="center" vertical="center"/>
    </xf>
    <xf numFmtId="0" fontId="7" fillId="0" borderId="0" xfId="80" applyFont="1" applyAlignment="1">
      <alignment horizontal="center" vertical="center"/>
    </xf>
    <xf numFmtId="0" fontId="5" fillId="0" borderId="0" xfId="80" applyFont="1" applyAlignment="1">
      <alignment horizontal="center"/>
    </xf>
    <xf numFmtId="0" fontId="7" fillId="0" borderId="0" xfId="80" applyFont="1" applyAlignment="1">
      <alignment horizontal="centerContinuous"/>
    </xf>
    <xf numFmtId="0" fontId="7" fillId="0" borderId="0" xfId="80" applyFont="1" applyAlignment="1">
      <alignment horizontal="left"/>
    </xf>
    <xf numFmtId="0" fontId="7" fillId="0" borderId="0" xfId="80" applyFont="1"/>
    <xf numFmtId="0" fontId="7" fillId="0" borderId="0" xfId="80"/>
    <xf numFmtId="0" fontId="7" fillId="0" borderId="0" xfId="80" applyFont="1" applyFill="1" applyAlignment="1">
      <alignment horizontal="centerContinuous"/>
    </xf>
    <xf numFmtId="0" fontId="5" fillId="0" borderId="0" xfId="80" applyFont="1" applyAlignment="1">
      <alignment horizontal="centerContinuous"/>
    </xf>
    <xf numFmtId="0" fontId="5" fillId="0" borderId="0" xfId="80" applyFont="1" applyAlignment="1">
      <alignment horizontal="left"/>
    </xf>
    <xf numFmtId="0" fontId="5" fillId="0" borderId="0" xfId="80" applyFont="1"/>
    <xf numFmtId="0" fontId="13" fillId="0" borderId="0" xfId="80" applyFont="1"/>
    <xf numFmtId="0" fontId="5" fillId="30" borderId="0" xfId="98" applyFont="1" applyFill="1" applyAlignment="1">
      <alignment horizontal="left" vertical="top"/>
    </xf>
    <xf numFmtId="0" fontId="5" fillId="29" borderId="0" xfId="100" applyFont="1" applyFill="1" applyAlignment="1">
      <alignment horizontal="left" vertical="center"/>
    </xf>
    <xf numFmtId="0" fontId="7" fillId="0" borderId="0" xfId="80" applyFont="1" applyAlignment="1">
      <alignment horizontal="center"/>
    </xf>
    <xf numFmtId="0" fontId="6" fillId="0" borderId="0" xfId="80" applyFont="1" applyAlignment="1">
      <alignment horizontal="center"/>
    </xf>
    <xf numFmtId="0" fontId="7" fillId="30" borderId="0" xfId="80" applyFill="1"/>
    <xf numFmtId="9" fontId="7" fillId="0" borderId="0" xfId="106" applyFont="1" applyAlignment="1">
      <alignment vertical="center"/>
    </xf>
    <xf numFmtId="0" fontId="8" fillId="24" borderId="11" xfId="0" applyFont="1" applyFill="1" applyBorder="1" applyAlignment="1">
      <alignment horizontal="center"/>
    </xf>
    <xf numFmtId="0" fontId="8" fillId="24" borderId="11" xfId="0" quotePrefix="1" applyFont="1" applyFill="1" applyBorder="1" applyAlignment="1">
      <alignment horizontal="center"/>
    </xf>
    <xf numFmtId="0" fontId="8" fillId="24" borderId="21" xfId="0" applyFont="1" applyFill="1" applyBorder="1" applyAlignment="1">
      <alignment horizontal="center"/>
    </xf>
    <xf numFmtId="0" fontId="8" fillId="24" borderId="21" xfId="0" quotePrefix="1" applyFont="1" applyFill="1" applyBorder="1" applyAlignment="1">
      <alignment horizontal="center"/>
    </xf>
    <xf numFmtId="0" fontId="8" fillId="24" borderId="29" xfId="0" applyFont="1" applyFill="1" applyBorder="1" applyAlignment="1">
      <alignment horizontal="center"/>
    </xf>
    <xf numFmtId="0" fontId="5" fillId="29" borderId="93" xfId="0" applyFont="1" applyFill="1" applyBorder="1" applyAlignment="1">
      <alignment horizontal="center"/>
    </xf>
    <xf numFmtId="0" fontId="5" fillId="29" borderId="95" xfId="0" applyFont="1" applyFill="1" applyBorder="1" applyAlignment="1">
      <alignment horizontal="center"/>
    </xf>
    <xf numFmtId="37" fontId="14" fillId="0" borderId="0" xfId="101" applyFont="1" applyFill="1" applyBorder="1" applyAlignment="1" applyProtection="1">
      <alignment horizontal="left"/>
    </xf>
    <xf numFmtId="37" fontId="10" fillId="30" borderId="96" xfId="101" applyFont="1" applyFill="1" applyBorder="1" applyAlignment="1" applyProtection="1">
      <alignment horizontal="left" vertical="top" wrapText="1"/>
    </xf>
    <xf numFmtId="37" fontId="10" fillId="29" borderId="97" xfId="101" applyFont="1" applyFill="1" applyBorder="1" applyAlignment="1" applyProtection="1">
      <alignment horizontal="left" vertical="top" wrapText="1"/>
    </xf>
    <xf numFmtId="37" fontId="10" fillId="30" borderId="21" xfId="101" applyFont="1" applyFill="1" applyBorder="1" applyAlignment="1" applyProtection="1">
      <alignment horizontal="left" vertical="top" wrapText="1"/>
    </xf>
    <xf numFmtId="37" fontId="10" fillId="29" borderId="0" xfId="101" applyFont="1" applyFill="1" applyBorder="1" applyAlignment="1" applyProtection="1">
      <alignment horizontal="left" vertical="top" wrapText="1"/>
    </xf>
    <xf numFmtId="37" fontId="10" fillId="30" borderId="11" xfId="101" applyFont="1" applyFill="1" applyBorder="1" applyAlignment="1" applyProtection="1">
      <alignment horizontal="left" vertical="top" wrapText="1"/>
    </xf>
    <xf numFmtId="37" fontId="10" fillId="29" borderId="11" xfId="101" applyFont="1" applyFill="1" applyBorder="1" applyAlignment="1" applyProtection="1">
      <alignment horizontal="left" vertical="top" wrapText="1"/>
    </xf>
    <xf numFmtId="37" fontId="10" fillId="30" borderId="29" xfId="101" applyFont="1" applyFill="1" applyBorder="1" applyAlignment="1" applyProtection="1">
      <alignment horizontal="left" vertical="top" wrapText="1"/>
    </xf>
    <xf numFmtId="37" fontId="10" fillId="29" borderId="29" xfId="101" applyFont="1" applyFill="1" applyBorder="1" applyAlignment="1" applyProtection="1">
      <alignment horizontal="left" vertical="top" wrapText="1"/>
    </xf>
    <xf numFmtId="37" fontId="10" fillId="30" borderId="98" xfId="101" applyFont="1" applyFill="1" applyBorder="1" applyAlignment="1" applyProtection="1">
      <alignment horizontal="left" vertical="top" wrapText="1"/>
    </xf>
    <xf numFmtId="37" fontId="10" fillId="29" borderId="99" xfId="101" applyFont="1" applyFill="1" applyBorder="1" applyAlignment="1" applyProtection="1">
      <alignment horizontal="left" vertical="top" wrapText="1"/>
    </xf>
    <xf numFmtId="37" fontId="10" fillId="29" borderId="96" xfId="101" applyFont="1" applyFill="1" applyBorder="1" applyAlignment="1" applyProtection="1">
      <alignment horizontal="left" vertical="top" wrapText="1"/>
    </xf>
    <xf numFmtId="37" fontId="10" fillId="29" borderId="99" xfId="101" quotePrefix="1" applyFont="1" applyFill="1" applyBorder="1" applyAlignment="1" applyProtection="1">
      <alignment horizontal="left" vertical="top" wrapText="1"/>
    </xf>
    <xf numFmtId="37" fontId="10" fillId="30" borderId="98" xfId="101" quotePrefix="1" applyFont="1" applyFill="1" applyBorder="1" applyAlignment="1" applyProtection="1">
      <alignment horizontal="left" vertical="top" wrapText="1"/>
    </xf>
    <xf numFmtId="49" fontId="10" fillId="30" borderId="100" xfId="101" quotePrefix="1" applyNumberFormat="1" applyFont="1" applyFill="1" applyBorder="1" applyAlignment="1" applyProtection="1">
      <alignment horizontal="left" vertical="top" wrapText="1"/>
    </xf>
    <xf numFmtId="49" fontId="10" fillId="30" borderId="100" xfId="101" applyNumberFormat="1" applyFont="1" applyFill="1" applyBorder="1" applyAlignment="1" applyProtection="1">
      <alignment horizontal="left" vertical="top" wrapText="1"/>
    </xf>
    <xf numFmtId="49" fontId="10" fillId="30" borderId="101" xfId="101" applyNumberFormat="1" applyFont="1" applyFill="1" applyBorder="1" applyAlignment="1" applyProtection="1">
      <alignment horizontal="left" vertical="top" wrapText="1"/>
    </xf>
    <xf numFmtId="37" fontId="10" fillId="30" borderId="101" xfId="101" applyFont="1" applyFill="1" applyBorder="1" applyAlignment="1" applyProtection="1">
      <alignment horizontal="left" vertical="top" wrapText="1"/>
    </xf>
    <xf numFmtId="37" fontId="10" fillId="29" borderId="102" xfId="101" quotePrefix="1" applyFont="1" applyFill="1" applyBorder="1" applyAlignment="1" applyProtection="1">
      <alignment horizontal="left" vertical="top" wrapText="1"/>
    </xf>
    <xf numFmtId="49" fontId="10" fillId="30" borderId="21" xfId="101" applyNumberFormat="1" applyFont="1" applyFill="1" applyBorder="1" applyAlignment="1" applyProtection="1">
      <alignment horizontal="left" vertical="top" wrapText="1"/>
    </xf>
    <xf numFmtId="37" fontId="10" fillId="29" borderId="103" xfId="101" quotePrefix="1" applyFont="1" applyFill="1" applyBorder="1" applyAlignment="1" applyProtection="1">
      <alignment horizontal="left" vertical="top" wrapText="1"/>
    </xf>
    <xf numFmtId="49" fontId="10" fillId="30" borderId="98" xfId="101" applyNumberFormat="1" applyFont="1" applyFill="1" applyBorder="1" applyAlignment="1" applyProtection="1">
      <alignment horizontal="left" vertical="top" wrapText="1"/>
    </xf>
    <xf numFmtId="37" fontId="10" fillId="29" borderId="104" xfId="101" quotePrefix="1" applyFont="1" applyFill="1" applyBorder="1" applyAlignment="1" applyProtection="1">
      <alignment horizontal="left" vertical="top" wrapText="1"/>
    </xf>
    <xf numFmtId="49" fontId="10" fillId="30" borderId="105" xfId="101" applyNumberFormat="1" applyFont="1" applyFill="1" applyBorder="1" applyAlignment="1" applyProtection="1">
      <alignment horizontal="left" vertical="top" wrapText="1"/>
    </xf>
    <xf numFmtId="49" fontId="10" fillId="30" borderId="65" xfId="101" applyNumberFormat="1" applyFont="1" applyFill="1" applyBorder="1" applyAlignment="1" applyProtection="1">
      <alignment horizontal="left" vertical="top" wrapText="1"/>
    </xf>
    <xf numFmtId="49" fontId="10" fillId="30" borderId="11" xfId="101" applyNumberFormat="1" applyFont="1" applyFill="1" applyBorder="1" applyAlignment="1" applyProtection="1">
      <alignment horizontal="left" vertical="top" wrapText="1"/>
    </xf>
    <xf numFmtId="49" fontId="10" fillId="30" borderId="29" xfId="101" applyNumberFormat="1" applyFont="1" applyFill="1" applyBorder="1" applyAlignment="1" applyProtection="1">
      <alignment horizontal="left" vertical="top" wrapText="1"/>
    </xf>
    <xf numFmtId="49" fontId="10" fillId="30" borderId="96" xfId="101" applyNumberFormat="1" applyFont="1" applyFill="1" applyBorder="1" applyAlignment="1" applyProtection="1">
      <alignment horizontal="left" vertical="top" wrapText="1"/>
    </xf>
    <xf numFmtId="37" fontId="10" fillId="29" borderId="62" xfId="101" applyFont="1" applyFill="1" applyBorder="1" applyAlignment="1" applyProtection="1">
      <alignment horizontal="left" vertical="top" wrapText="1"/>
    </xf>
    <xf numFmtId="37" fontId="10" fillId="29" borderId="65" xfId="101" applyFont="1" applyFill="1" applyBorder="1" applyAlignment="1" applyProtection="1">
      <alignment horizontal="left" vertical="top" wrapText="1"/>
    </xf>
    <xf numFmtId="37" fontId="10" fillId="29" borderId="66" xfId="101" applyFont="1" applyFill="1" applyBorder="1" applyAlignment="1" applyProtection="1">
      <alignment horizontal="left" vertical="top" wrapText="1"/>
    </xf>
    <xf numFmtId="37" fontId="10" fillId="0" borderId="10" xfId="101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165" fontId="6" fillId="0" borderId="0" xfId="102" applyFont="1" applyAlignment="1">
      <alignment horizontal="center" wrapText="1"/>
    </xf>
    <xf numFmtId="168" fontId="7" fillId="29" borderId="10" xfId="45" applyNumberFormat="1" applyFont="1" applyFill="1" applyBorder="1"/>
    <xf numFmtId="49" fontId="14" fillId="30" borderId="100" xfId="101" applyNumberFormat="1" applyFont="1" applyFill="1" applyBorder="1" applyAlignment="1" applyProtection="1">
      <alignment horizontal="left" vertical="top" wrapText="1"/>
    </xf>
    <xf numFmtId="0" fontId="8" fillId="30" borderId="91" xfId="98" applyFont="1" applyFill="1" applyBorder="1" applyAlignment="1">
      <alignment vertical="top" wrapText="1"/>
    </xf>
    <xf numFmtId="0" fontId="8" fillId="29" borderId="106" xfId="0" applyFont="1" applyFill="1" applyBorder="1" applyAlignment="1">
      <alignment horizontal="left" vertical="top" wrapText="1"/>
    </xf>
    <xf numFmtId="37" fontId="14" fillId="0" borderId="107" xfId="101" applyFont="1" applyBorder="1" applyAlignment="1">
      <alignment horizontal="center" vertical="top" wrapText="1"/>
    </xf>
    <xf numFmtId="168" fontId="6" fillId="29" borderId="10" xfId="45" applyNumberFormat="1" applyFont="1" applyFill="1" applyBorder="1"/>
    <xf numFmtId="44" fontId="8" fillId="0" borderId="0" xfId="45" applyFont="1" applyFill="1" applyBorder="1" applyAlignment="1">
      <alignment vertical="center"/>
    </xf>
    <xf numFmtId="179" fontId="8" fillId="36" borderId="0" xfId="99" applyNumberFormat="1" applyFont="1" applyFill="1" applyBorder="1" applyAlignment="1">
      <alignment horizontal="center" vertical="center" wrapText="1"/>
    </xf>
    <xf numFmtId="43" fontId="8" fillId="36" borderId="0" xfId="99" applyNumberFormat="1" applyFont="1" applyFill="1" applyBorder="1" applyAlignment="1">
      <alignment horizontal="center" vertical="center" wrapText="1"/>
    </xf>
    <xf numFmtId="179" fontId="5" fillId="36" borderId="0" xfId="45" applyNumberFormat="1" applyFont="1" applyFill="1" applyBorder="1" applyAlignment="1">
      <alignment horizontal="center" vertical="center" wrapText="1"/>
    </xf>
    <xf numFmtId="168" fontId="5" fillId="36" borderId="0" xfId="45" applyNumberFormat="1" applyFont="1" applyFill="1" applyBorder="1" applyAlignment="1">
      <alignment horizontal="centerContinuous"/>
    </xf>
    <xf numFmtId="10" fontId="8" fillId="36" borderId="0" xfId="106" applyNumberFormat="1" applyFont="1" applyFill="1" applyBorder="1" applyAlignment="1">
      <alignment horizontal="center" vertical="center" wrapText="1"/>
    </xf>
    <xf numFmtId="0" fontId="7" fillId="29" borderId="10" xfId="0" quotePrefix="1" applyFont="1" applyFill="1" applyBorder="1" applyAlignment="1">
      <alignment horizontal="center" vertical="center"/>
    </xf>
    <xf numFmtId="44" fontId="5" fillId="0" borderId="0" xfId="0" applyNumberFormat="1" applyFont="1" applyFill="1" applyBorder="1" applyAlignment="1">
      <alignment vertical="center"/>
    </xf>
    <xf numFmtId="164" fontId="7" fillId="0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44" fontId="8" fillId="0" borderId="40" xfId="0" applyNumberFormat="1" applyFont="1" applyFill="1" applyBorder="1" applyAlignment="1">
      <alignment vertical="center"/>
    </xf>
    <xf numFmtId="166" fontId="5" fillId="39" borderId="48" xfId="28" quotePrefix="1" applyNumberFormat="1" applyFont="1" applyFill="1" applyBorder="1" applyAlignment="1">
      <alignment horizontal="right" vertical="center"/>
    </xf>
    <xf numFmtId="166" fontId="5" fillId="39" borderId="13" xfId="28" quotePrefix="1" applyNumberFormat="1" applyFont="1" applyFill="1" applyBorder="1" applyAlignment="1">
      <alignment horizontal="right" vertical="center"/>
    </xf>
    <xf numFmtId="167" fontId="5" fillId="0" borderId="0" xfId="99" applyNumberFormat="1" applyFont="1" applyAlignment="1">
      <alignment horizontal="centerContinuous" vertical="center"/>
    </xf>
    <xf numFmtId="167" fontId="5" fillId="26" borderId="29" xfId="45" applyNumberFormat="1" applyFont="1" applyFill="1" applyBorder="1" applyAlignment="1">
      <alignment horizontal="center" vertical="center" wrapText="1"/>
    </xf>
    <xf numFmtId="167" fontId="5" fillId="0" borderId="30" xfId="45" applyNumberFormat="1" applyFont="1" applyBorder="1" applyAlignment="1">
      <alignment horizontal="center" vertical="center" wrapText="1"/>
    </xf>
    <xf numFmtId="167" fontId="5" fillId="26" borderId="21" xfId="45" applyNumberFormat="1" applyFont="1" applyFill="1" applyBorder="1" applyAlignment="1">
      <alignment horizontal="center" vertical="center" wrapText="1"/>
    </xf>
    <xf numFmtId="167" fontId="5" fillId="0" borderId="28" xfId="45" applyNumberFormat="1" applyFont="1" applyBorder="1" applyAlignment="1">
      <alignment horizontal="center" vertical="center" wrapText="1"/>
    </xf>
    <xf numFmtId="167" fontId="8" fillId="0" borderId="19" xfId="45" applyNumberFormat="1" applyFont="1" applyBorder="1" applyAlignment="1">
      <alignment horizontal="center" vertical="center" wrapText="1"/>
    </xf>
    <xf numFmtId="167" fontId="8" fillId="26" borderId="20" xfId="45" applyNumberFormat="1" applyFont="1" applyFill="1" applyBorder="1" applyAlignment="1">
      <alignment horizontal="center" vertical="center" wrapText="1"/>
    </xf>
    <xf numFmtId="167" fontId="8" fillId="0" borderId="44" xfId="45" applyNumberFormat="1" applyFont="1" applyBorder="1" applyAlignment="1">
      <alignment horizontal="center" vertical="center" wrapText="1"/>
    </xf>
    <xf numFmtId="167" fontId="8" fillId="0" borderId="43" xfId="45" applyNumberFormat="1" applyFont="1" applyBorder="1" applyAlignment="1">
      <alignment horizontal="center" vertical="center" wrapText="1"/>
    </xf>
    <xf numFmtId="167" fontId="8" fillId="0" borderId="35" xfId="45" applyNumberFormat="1" applyFont="1" applyBorder="1" applyAlignment="1">
      <alignment horizontal="center" vertical="center" wrapText="1"/>
    </xf>
    <xf numFmtId="167" fontId="5" fillId="0" borderId="22" xfId="0" applyNumberFormat="1" applyFont="1" applyFill="1" applyBorder="1" applyAlignment="1">
      <alignment vertical="center"/>
    </xf>
    <xf numFmtId="0" fontId="5" fillId="0" borderId="0" xfId="98" applyFont="1" applyFill="1" applyAlignment="1">
      <alignment wrapText="1"/>
    </xf>
    <xf numFmtId="49" fontId="10" fillId="30" borderId="10" xfId="101" applyNumberFormat="1" applyFont="1" applyFill="1" applyBorder="1" applyAlignment="1" applyProtection="1">
      <alignment horizontal="left" vertical="top" wrapText="1"/>
    </xf>
    <xf numFmtId="37" fontId="10" fillId="0" borderId="11" xfId="101" applyFont="1" applyBorder="1" applyAlignment="1">
      <alignment horizontal="center" vertical="top" wrapText="1"/>
    </xf>
    <xf numFmtId="37" fontId="10" fillId="0" borderId="10" xfId="101" applyFont="1" applyFill="1" applyBorder="1" applyAlignment="1">
      <alignment horizontal="center" vertical="top" wrapText="1"/>
    </xf>
    <xf numFmtId="10" fontId="3" fillId="29" borderId="10" xfId="0" quotePrefix="1" applyNumberFormat="1" applyFont="1" applyFill="1" applyBorder="1" applyAlignment="1">
      <alignment horizontal="center" vertical="center"/>
    </xf>
    <xf numFmtId="169" fontId="8" fillId="36" borderId="0" xfId="99" applyNumberFormat="1" applyFont="1" applyFill="1" applyBorder="1" applyAlignment="1">
      <alignment horizontal="center" vertical="center" wrapText="1"/>
    </xf>
    <xf numFmtId="169" fontId="8" fillId="0" borderId="55" xfId="45" applyNumberFormat="1" applyFont="1" applyFill="1" applyBorder="1" applyAlignment="1">
      <alignment horizontal="center" vertical="center" wrapText="1"/>
    </xf>
    <xf numFmtId="164" fontId="8" fillId="0" borderId="55" xfId="45" applyNumberFormat="1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Continuous" vertical="center"/>
    </xf>
    <xf numFmtId="0" fontId="5" fillId="0" borderId="67" xfId="0" applyFont="1" applyFill="1" applyBorder="1" applyAlignment="1">
      <alignment horizontal="centerContinuous" vertical="center"/>
    </xf>
    <xf numFmtId="0" fontId="5" fillId="0" borderId="45" xfId="0" applyFont="1" applyFill="1" applyBorder="1" applyAlignment="1">
      <alignment horizontal="centerContinuous" vertical="center"/>
    </xf>
    <xf numFmtId="0" fontId="8" fillId="0" borderId="66" xfId="0" applyFont="1" applyFill="1" applyBorder="1" applyAlignment="1">
      <alignment horizontal="centerContinuous" vertical="center"/>
    </xf>
    <xf numFmtId="0" fontId="5" fillId="0" borderId="68" xfId="0" applyFont="1" applyFill="1" applyBorder="1" applyAlignment="1">
      <alignment horizontal="centerContinuous" vertical="center"/>
    </xf>
    <xf numFmtId="0" fontId="5" fillId="0" borderId="37" xfId="0" applyFont="1" applyFill="1" applyBorder="1" applyAlignment="1">
      <alignment horizontal="centerContinuous" vertical="center"/>
    </xf>
    <xf numFmtId="169" fontId="8" fillId="0" borderId="47" xfId="45" applyNumberFormat="1" applyFont="1" applyFill="1" applyBorder="1" applyAlignment="1">
      <alignment horizontal="center" vertical="center" wrapText="1"/>
    </xf>
    <xf numFmtId="169" fontId="8" fillId="0" borderId="57" xfId="45" applyNumberFormat="1" applyFont="1" applyFill="1" applyBorder="1" applyAlignment="1">
      <alignment horizontal="center" vertical="center" wrapText="1"/>
    </xf>
    <xf numFmtId="0" fontId="8" fillId="24" borderId="61" xfId="0" applyFont="1" applyFill="1" applyBorder="1" applyAlignment="1">
      <alignment horizontal="center"/>
    </xf>
    <xf numFmtId="0" fontId="3" fillId="0" borderId="0" xfId="80" applyFont="1"/>
    <xf numFmtId="44" fontId="5" fillId="0" borderId="0" xfId="45" applyFont="1" applyFill="1" applyBorder="1" applyAlignment="1">
      <alignment vertical="center"/>
    </xf>
    <xf numFmtId="0" fontId="3" fillId="0" borderId="0" xfId="80" applyFont="1" applyAlignment="1">
      <alignment horizontal="centerContinuous"/>
    </xf>
    <xf numFmtId="0" fontId="3" fillId="0" borderId="0" xfId="80" applyFont="1" applyAlignment="1">
      <alignment horizontal="left"/>
    </xf>
    <xf numFmtId="0" fontId="3" fillId="0" borderId="0" xfId="80" applyFont="1" applyFill="1" applyAlignment="1">
      <alignment horizontal="centerContinuous"/>
    </xf>
    <xf numFmtId="0" fontId="5" fillId="30" borderId="66" xfId="0" applyFont="1" applyFill="1" applyBorder="1"/>
    <xf numFmtId="0" fontId="5" fillId="30" borderId="61" xfId="0" applyFont="1" applyFill="1" applyBorder="1"/>
    <xf numFmtId="0" fontId="5" fillId="29" borderId="92" xfId="0" applyFont="1" applyFill="1" applyBorder="1" applyAlignment="1">
      <alignment horizontal="center"/>
    </xf>
    <xf numFmtId="0" fontId="5" fillId="29" borderId="110" xfId="0" applyFont="1" applyFill="1" applyBorder="1" applyAlignment="1">
      <alignment horizontal="center"/>
    </xf>
    <xf numFmtId="0" fontId="5" fillId="29" borderId="94" xfId="0" applyFont="1" applyFill="1" applyBorder="1" applyAlignment="1">
      <alignment horizontal="center"/>
    </xf>
    <xf numFmtId="0" fontId="5" fillId="29" borderId="111" xfId="0" applyFont="1" applyFill="1" applyBorder="1" applyAlignment="1">
      <alignment horizontal="center"/>
    </xf>
    <xf numFmtId="176" fontId="3" fillId="29" borderId="0" xfId="0" applyNumberFormat="1" applyFont="1" applyFill="1" applyAlignment="1">
      <alignment vertical="center"/>
    </xf>
    <xf numFmtId="164" fontId="8" fillId="0" borderId="48" xfId="106" applyNumberFormat="1" applyFont="1" applyBorder="1" applyAlignment="1">
      <alignment vertical="center"/>
    </xf>
    <xf numFmtId="164" fontId="8" fillId="0" borderId="13" xfId="106" applyNumberFormat="1" applyFont="1" applyBorder="1" applyAlignment="1">
      <alignment vertical="center"/>
    </xf>
    <xf numFmtId="0" fontId="8" fillId="24" borderId="65" xfId="0" applyFont="1" applyFill="1" applyBorder="1" applyAlignment="1">
      <alignment horizontal="center" vertical="center"/>
    </xf>
    <xf numFmtId="0" fontId="3" fillId="24" borderId="65" xfId="0" applyFont="1" applyFill="1" applyBorder="1" applyAlignment="1">
      <alignment horizontal="center" vertical="center"/>
    </xf>
    <xf numFmtId="0" fontId="3" fillId="24" borderId="66" xfId="0" applyFont="1" applyFill="1" applyBorder="1" applyAlignment="1">
      <alignment horizontal="center" vertical="center"/>
    </xf>
    <xf numFmtId="0" fontId="8" fillId="24" borderId="61" xfId="0" applyFont="1" applyFill="1" applyBorder="1" applyAlignment="1">
      <alignment horizontal="center"/>
    </xf>
    <xf numFmtId="0" fontId="0" fillId="0" borderId="108" xfId="0" applyBorder="1" applyAlignment="1"/>
    <xf numFmtId="0" fontId="0" fillId="0" borderId="32" xfId="0" applyBorder="1" applyAlignment="1"/>
    <xf numFmtId="0" fontId="6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/>
    <xf numFmtId="0" fontId="5" fillId="0" borderId="0" xfId="99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5" fontId="5" fillId="0" borderId="0" xfId="102" applyFont="1" applyAlignment="1">
      <alignment horizontal="left" vertical="center"/>
    </xf>
    <xf numFmtId="0" fontId="8" fillId="24" borderId="21" xfId="99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11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28" builtinId="3"/>
    <cellStyle name="Comma 10" xfId="29"/>
    <cellStyle name="Comma 2" xfId="30"/>
    <cellStyle name="Comma 2 2" xfId="31"/>
    <cellStyle name="Comma 3" xfId="32"/>
    <cellStyle name="Comma 3 2" xfId="33"/>
    <cellStyle name="Comma 4" xfId="34"/>
    <cellStyle name="Comma 4 2" xfId="35"/>
    <cellStyle name="Comma 5" xfId="36"/>
    <cellStyle name="Comma 5 2" xfId="37"/>
    <cellStyle name="Comma 6" xfId="38"/>
    <cellStyle name="Comma 6 2" xfId="39"/>
    <cellStyle name="Comma 6 3" xfId="40"/>
    <cellStyle name="Comma 7" xfId="41"/>
    <cellStyle name="Comma 8" xfId="42"/>
    <cellStyle name="Comma 8 2" xfId="43"/>
    <cellStyle name="Comma 9" xfId="44"/>
    <cellStyle name="Currency" xfId="45" builtinId="4"/>
    <cellStyle name="Currency 2" xfId="46"/>
    <cellStyle name="Currency 2 2" xfId="47"/>
    <cellStyle name="Currency 3" xfId="48"/>
    <cellStyle name="Currency 3 2" xfId="49"/>
    <cellStyle name="Currency 4" xfId="50"/>
    <cellStyle name="Currency 4 2" xfId="51"/>
    <cellStyle name="Currency 4 3" xfId="52"/>
    <cellStyle name="Currency 5" xfId="53"/>
    <cellStyle name="Currency 6" xfId="54"/>
    <cellStyle name="Currency 7" xfId="55"/>
    <cellStyle name="Currency 7 2" xfId="56"/>
    <cellStyle name="Currency 8" xfId="57"/>
    <cellStyle name="Currency 8 2" xfId="58"/>
    <cellStyle name="Currency 9" xfId="59"/>
    <cellStyle name="Currency 9 2" xfId="60"/>
    <cellStyle name="Data Entry" xfId="61"/>
    <cellStyle name="Explanatory Text 2" xfId="62"/>
    <cellStyle name="Good 2" xfId="63"/>
    <cellStyle name="Heading 1 2" xfId="64"/>
    <cellStyle name="Heading 2 2" xfId="65"/>
    <cellStyle name="Heading 3 2" xfId="66"/>
    <cellStyle name="Heading 4 2" xfId="67"/>
    <cellStyle name="Input 2" xfId="68"/>
    <cellStyle name="Linked Cell 2" xfId="69"/>
    <cellStyle name="Neutral 2" xfId="70"/>
    <cellStyle name="Normal" xfId="0" builtinId="0"/>
    <cellStyle name="Normal 10" xfId="71"/>
    <cellStyle name="Normal 11" xfId="72"/>
    <cellStyle name="Normal 12" xfId="73"/>
    <cellStyle name="Normal 13" xfId="74"/>
    <cellStyle name="Normal 14" xfId="75"/>
    <cellStyle name="Normal 15" xfId="76"/>
    <cellStyle name="Normal 16" xfId="77"/>
    <cellStyle name="Normal 17" xfId="78"/>
    <cellStyle name="Normal 18" xfId="79"/>
    <cellStyle name="Normal 19" xfId="114"/>
    <cellStyle name="Normal 2" xfId="80"/>
    <cellStyle name="Normal 2 2" xfId="81"/>
    <cellStyle name="Normal 2 3" xfId="82"/>
    <cellStyle name="Normal 20" xfId="115"/>
    <cellStyle name="Normal 3" xfId="83"/>
    <cellStyle name="Normal 4" xfId="84"/>
    <cellStyle name="Normal 4 2" xfId="85"/>
    <cellStyle name="Normal 5" xfId="86"/>
    <cellStyle name="Normal 5 2" xfId="87"/>
    <cellStyle name="Normal 6" xfId="88"/>
    <cellStyle name="Normal 6 2" xfId="89"/>
    <cellStyle name="Normal 7" xfId="90"/>
    <cellStyle name="Normal 7 2" xfId="91"/>
    <cellStyle name="Normal 7 3" xfId="92"/>
    <cellStyle name="Normal 8" xfId="93"/>
    <cellStyle name="Normal 8 2" xfId="94"/>
    <cellStyle name="Normal 9" xfId="95"/>
    <cellStyle name="Normal 9 2" xfId="96"/>
    <cellStyle name="Normal_adminsummary_fy0304waiver" xfId="97"/>
    <cellStyle name="Normal_adminsummary_fy0304waiver 2" xfId="98"/>
    <cellStyle name="Normal_Conversion CE sample" xfId="99"/>
    <cellStyle name="Normal_Conversion CE sample 2" xfId="100"/>
    <cellStyle name="Normal_NE6410WAIVER_BYQ4.XLW" xfId="101"/>
    <cellStyle name="Normal_Psych_Psych" xfId="102"/>
    <cellStyle name="Note 2" xfId="103"/>
    <cellStyle name="Note 3" xfId="104"/>
    <cellStyle name="Output 2" xfId="105"/>
    <cellStyle name="Percent" xfId="106" builtinId="5"/>
    <cellStyle name="Percent 2" xfId="107"/>
    <cellStyle name="Percent 2 2" xfId="108"/>
    <cellStyle name="Percent 3" xfId="109"/>
    <cellStyle name="Title 2" xfId="110"/>
    <cellStyle name="Title 3" xfId="111"/>
    <cellStyle name="Total 2" xfId="112"/>
    <cellStyle name="Warning Text 2" xfId="113"/>
  </cellStyles>
  <dxfs count="0"/>
  <tableStyles count="0" defaultTableStyle="TableStyleMedium9" defaultPivotStyle="PivotStyleLight16"/>
  <colors>
    <mruColors>
      <color rgb="FF00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O45"/>
  <sheetViews>
    <sheetView showGridLines="0" tabSelected="1" zoomScaleNormal="100" workbookViewId="0"/>
  </sheetViews>
  <sheetFormatPr defaultRowHeight="12.75" x14ac:dyDescent="0.2"/>
  <cols>
    <col min="1" max="1" width="7.140625" style="4" bestFit="1" customWidth="1"/>
    <col min="2" max="2" width="41.7109375" style="7" customWidth="1"/>
    <col min="3" max="4" width="13.140625" style="7" customWidth="1"/>
    <col min="5" max="5" width="10.5703125" style="7" customWidth="1"/>
    <col min="6" max="6" width="10.7109375" style="7" customWidth="1"/>
    <col min="7" max="7" width="10.5703125" style="7" customWidth="1"/>
    <col min="8" max="8" width="10.7109375" style="7" customWidth="1"/>
    <col min="9" max="9" width="20.5703125" style="7" customWidth="1"/>
    <col min="10" max="10" width="10.7109375" style="7" customWidth="1"/>
    <col min="11" max="11" width="11.5703125" style="7" customWidth="1"/>
    <col min="12" max="12" width="10.5703125" style="7" customWidth="1"/>
    <col min="13" max="14" width="10.7109375" style="7" customWidth="1"/>
    <col min="15" max="15" width="18" style="7" customWidth="1"/>
    <col min="16" max="16" width="29.28515625" style="7" bestFit="1" customWidth="1"/>
    <col min="17" max="17" width="10.5703125" style="7" bestFit="1" customWidth="1"/>
    <col min="18" max="16384" width="9.140625" style="7"/>
  </cols>
  <sheetData>
    <row r="1" spans="1:249" s="2" customFormat="1" ht="33.7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IO1" s="3"/>
    </row>
    <row r="2" spans="1:249" ht="17.25" customHeight="1" x14ac:dyDescent="0.2">
      <c r="A2" s="4">
        <v>2</v>
      </c>
      <c r="B2" s="5" t="s">
        <v>201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49" ht="17.25" customHeight="1" x14ac:dyDescent="0.2">
      <c r="A3" s="4">
        <v>3</v>
      </c>
      <c r="B3" s="5" t="s">
        <v>330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49" ht="17.25" customHeight="1" x14ac:dyDescent="0.2">
      <c r="A4" s="4">
        <v>4</v>
      </c>
      <c r="B4" s="377"/>
      <c r="C4" s="6"/>
      <c r="D4" s="6"/>
      <c r="E4" s="417"/>
      <c r="F4" s="417" t="s">
        <v>325</v>
      </c>
      <c r="G4" s="419" t="s">
        <v>470</v>
      </c>
      <c r="H4" s="417"/>
      <c r="I4" s="6"/>
      <c r="J4" s="6"/>
      <c r="K4" s="6"/>
      <c r="L4" s="6"/>
      <c r="M4" s="6"/>
      <c r="N4" s="6"/>
      <c r="O4" s="418"/>
    </row>
    <row r="5" spans="1:249" ht="24" customHeight="1" x14ac:dyDescent="0.2">
      <c r="A5" s="4">
        <v>5</v>
      </c>
      <c r="B5" s="7" t="s">
        <v>328</v>
      </c>
      <c r="C5" s="417" t="s">
        <v>334</v>
      </c>
      <c r="D5" s="415">
        <v>41183</v>
      </c>
      <c r="E5" s="7" t="s">
        <v>329</v>
      </c>
      <c r="F5" s="415">
        <v>41547</v>
      </c>
      <c r="G5" s="7" t="s">
        <v>333</v>
      </c>
      <c r="H5" s="607">
        <v>41548</v>
      </c>
      <c r="I5" s="7" t="s">
        <v>329</v>
      </c>
      <c r="J5" s="415">
        <v>41912</v>
      </c>
      <c r="K5" s="418" t="s">
        <v>467</v>
      </c>
      <c r="L5"/>
      <c r="M5"/>
      <c r="N5" s="8"/>
    </row>
    <row r="6" spans="1:249" s="8" customFormat="1" ht="18" customHeight="1" x14ac:dyDescent="0.2">
      <c r="A6" s="4">
        <v>6</v>
      </c>
      <c r="B6" s="416" t="s">
        <v>331</v>
      </c>
      <c r="C6" s="417" t="s">
        <v>326</v>
      </c>
      <c r="D6" s="415">
        <v>42005</v>
      </c>
      <c r="E6" s="7" t="s">
        <v>329</v>
      </c>
      <c r="F6" s="415">
        <v>42369</v>
      </c>
      <c r="G6" s="417" t="s">
        <v>327</v>
      </c>
      <c r="H6" s="415">
        <v>42370</v>
      </c>
      <c r="I6" s="7" t="s">
        <v>329</v>
      </c>
      <c r="J6" s="415">
        <v>42735</v>
      </c>
      <c r="K6" s="418" t="s">
        <v>332</v>
      </c>
      <c r="L6" s="7"/>
      <c r="M6" s="7"/>
      <c r="N6" s="7"/>
    </row>
    <row r="7" spans="1:249" s="8" customFormat="1" ht="18" customHeight="1" x14ac:dyDescent="0.2">
      <c r="A7" s="4">
        <v>7</v>
      </c>
      <c r="B7" s="416" t="s">
        <v>331</v>
      </c>
      <c r="C7" s="417" t="s">
        <v>373</v>
      </c>
      <c r="D7" s="415">
        <v>42736</v>
      </c>
      <c r="E7" s="7" t="s">
        <v>329</v>
      </c>
      <c r="F7" s="415">
        <v>43100</v>
      </c>
      <c r="G7" s="417" t="s">
        <v>374</v>
      </c>
      <c r="H7" s="415">
        <v>43101</v>
      </c>
      <c r="I7" s="7" t="s">
        <v>329</v>
      </c>
      <c r="J7" s="415">
        <v>43465</v>
      </c>
      <c r="K7" s="417" t="s">
        <v>375</v>
      </c>
      <c r="L7" s="415">
        <v>43466</v>
      </c>
      <c r="M7" s="7" t="s">
        <v>329</v>
      </c>
      <c r="N7" s="415">
        <v>43830</v>
      </c>
      <c r="P7" s="409" t="s">
        <v>335</v>
      </c>
      <c r="Q7" s="410"/>
    </row>
    <row r="8" spans="1:249" s="8" customFormat="1" ht="24" customHeight="1" x14ac:dyDescent="0.2">
      <c r="A8" s="4">
        <v>8</v>
      </c>
      <c r="B8" s="432" t="s">
        <v>14</v>
      </c>
      <c r="C8" s="297" t="s">
        <v>199</v>
      </c>
      <c r="D8" s="292" t="s">
        <v>200</v>
      </c>
      <c r="E8" s="297" t="s">
        <v>178</v>
      </c>
      <c r="F8" s="263" t="s">
        <v>179</v>
      </c>
      <c r="G8" s="263" t="s">
        <v>180</v>
      </c>
      <c r="H8" s="263" t="s">
        <v>181</v>
      </c>
      <c r="I8" s="264" t="s">
        <v>15</v>
      </c>
      <c r="J8" s="263" t="s">
        <v>182</v>
      </c>
      <c r="K8" s="263" t="s">
        <v>183</v>
      </c>
      <c r="L8" s="263" t="s">
        <v>184</v>
      </c>
      <c r="M8" s="263" t="s">
        <v>185</v>
      </c>
      <c r="N8" s="264" t="s">
        <v>16</v>
      </c>
      <c r="P8" s="402" t="s">
        <v>207</v>
      </c>
      <c r="Q8" s="471">
        <f>(J5-H5)+1</f>
        <v>365</v>
      </c>
    </row>
    <row r="9" spans="1:249" s="8" customFormat="1" ht="18" customHeight="1" x14ac:dyDescent="0.2">
      <c r="A9" s="4">
        <v>9</v>
      </c>
      <c r="B9" s="295"/>
      <c r="C9" s="420">
        <f>F5</f>
        <v>41547</v>
      </c>
      <c r="D9" s="421">
        <f>J5</f>
        <v>41912</v>
      </c>
      <c r="E9" s="422">
        <f>D6</f>
        <v>42005</v>
      </c>
      <c r="F9" s="423">
        <f>E9+90</f>
        <v>42095</v>
      </c>
      <c r="G9" s="423">
        <f>F9+91</f>
        <v>42186</v>
      </c>
      <c r="H9" s="423">
        <f>G9+92</f>
        <v>42278</v>
      </c>
      <c r="I9" s="265" t="s">
        <v>18</v>
      </c>
      <c r="J9" s="423">
        <f>H6</f>
        <v>42370</v>
      </c>
      <c r="K9" s="423">
        <f>+J9+91</f>
        <v>42461</v>
      </c>
      <c r="L9" s="423">
        <f>K9+91</f>
        <v>42552</v>
      </c>
      <c r="M9" s="423">
        <f>L9+92</f>
        <v>42644</v>
      </c>
      <c r="N9" s="265" t="s">
        <v>19</v>
      </c>
      <c r="P9" s="402" t="s">
        <v>319</v>
      </c>
      <c r="Q9" s="471">
        <f>((D6-J5)-1)*0</f>
        <v>0</v>
      </c>
    </row>
    <row r="10" spans="1:249" s="8" customFormat="1" ht="18" customHeight="1" x14ac:dyDescent="0.2">
      <c r="A10" s="4">
        <v>10</v>
      </c>
      <c r="B10" s="380" t="s">
        <v>471</v>
      </c>
      <c r="C10" s="566">
        <v>424367.9</v>
      </c>
      <c r="D10" s="567">
        <v>436922.1</v>
      </c>
      <c r="E10" s="369">
        <v>111840.70837250099</v>
      </c>
      <c r="F10" s="373">
        <v>112720.95455467502</v>
      </c>
      <c r="G10" s="373">
        <v>116154.58247454933</v>
      </c>
      <c r="H10" s="373">
        <v>118923.27867326737</v>
      </c>
      <c r="I10" s="9">
        <f>SUM(E10:H10)</f>
        <v>459639.52407499263</v>
      </c>
      <c r="J10" s="375">
        <v>119797.69506903313</v>
      </c>
      <c r="K10" s="375">
        <v>120373.51336199942</v>
      </c>
      <c r="L10" s="375">
        <v>122351.75388439707</v>
      </c>
      <c r="M10" s="375">
        <v>123851.07065216459</v>
      </c>
      <c r="N10" s="9">
        <f>SUM(J10:M10)</f>
        <v>486374.03296759416</v>
      </c>
      <c r="P10" s="402" t="s">
        <v>320</v>
      </c>
      <c r="Q10" s="471">
        <f>F6-D6+1</f>
        <v>365</v>
      </c>
    </row>
    <row r="11" spans="1:249" s="8" customFormat="1" ht="18" customHeight="1" x14ac:dyDescent="0.2">
      <c r="A11" s="4">
        <v>11</v>
      </c>
      <c r="B11" s="380" t="s">
        <v>472</v>
      </c>
      <c r="C11" s="566">
        <v>14850.89</v>
      </c>
      <c r="D11" s="567">
        <v>15335.830000000002</v>
      </c>
      <c r="E11" s="369">
        <v>3960.1567144051305</v>
      </c>
      <c r="F11" s="373">
        <v>3991.1474385212878</v>
      </c>
      <c r="G11" s="373">
        <v>4023.0641185188533</v>
      </c>
      <c r="H11" s="373">
        <v>4054.3572732448074</v>
      </c>
      <c r="I11" s="9">
        <f>SUM(E11:H11)</f>
        <v>16028.725544690078</v>
      </c>
      <c r="J11" s="375">
        <v>4081.4353061657966</v>
      </c>
      <c r="K11" s="375">
        <v>4105.5469987059832</v>
      </c>
      <c r="L11" s="375">
        <v>4127.8244814583286</v>
      </c>
      <c r="M11" s="375">
        <v>4150.7605124021093</v>
      </c>
      <c r="N11" s="9">
        <f>SUM(J11:M11)</f>
        <v>16465.567298732218</v>
      </c>
      <c r="P11" s="402" t="s">
        <v>321</v>
      </c>
      <c r="Q11" s="471">
        <f>(J6-H6)+1</f>
        <v>366</v>
      </c>
    </row>
    <row r="12" spans="1:249" s="8" customFormat="1" ht="18" customHeight="1" x14ac:dyDescent="0.2">
      <c r="A12" s="4">
        <v>12</v>
      </c>
      <c r="B12" s="380"/>
      <c r="C12" s="369"/>
      <c r="D12" s="370"/>
      <c r="E12" s="369"/>
      <c r="F12" s="373"/>
      <c r="G12" s="373"/>
      <c r="H12" s="373"/>
      <c r="I12" s="9"/>
      <c r="J12" s="375"/>
      <c r="K12" s="375"/>
      <c r="L12" s="375"/>
      <c r="M12" s="375"/>
      <c r="N12" s="9"/>
      <c r="P12" s="402" t="s">
        <v>376</v>
      </c>
      <c r="Q12" s="471">
        <f>(F7-D7)+1</f>
        <v>365</v>
      </c>
    </row>
    <row r="13" spans="1:249" s="8" customFormat="1" ht="18" customHeight="1" thickBot="1" x14ac:dyDescent="0.25">
      <c r="A13" s="4">
        <v>13</v>
      </c>
      <c r="B13" s="381"/>
      <c r="C13" s="371"/>
      <c r="D13" s="372"/>
      <c r="E13" s="371"/>
      <c r="F13" s="374"/>
      <c r="G13" s="374"/>
      <c r="H13" s="374"/>
      <c r="I13" s="11"/>
      <c r="J13" s="376"/>
      <c r="K13" s="376"/>
      <c r="L13" s="376"/>
      <c r="M13" s="376"/>
      <c r="N13" s="9"/>
      <c r="P13" s="402" t="s">
        <v>377</v>
      </c>
      <c r="Q13" s="471">
        <f>(J7-H7)+1</f>
        <v>365</v>
      </c>
    </row>
    <row r="14" spans="1:249" s="8" customFormat="1" ht="18" customHeight="1" thickTop="1" x14ac:dyDescent="0.2">
      <c r="A14" s="4">
        <v>14</v>
      </c>
      <c r="B14" s="296" t="s">
        <v>21</v>
      </c>
      <c r="C14" s="298">
        <f>SUM(C10:C13)</f>
        <v>439218.79000000004</v>
      </c>
      <c r="D14" s="294">
        <f>SUM(D10:D13)</f>
        <v>452257.93</v>
      </c>
      <c r="E14" s="298">
        <f t="shared" ref="E14:N14" si="0">SUM(E10:E13)</f>
        <v>115800.86508690612</v>
      </c>
      <c r="F14" s="12">
        <f t="shared" si="0"/>
        <v>116712.10199319631</v>
      </c>
      <c r="G14" s="12">
        <f t="shared" si="0"/>
        <v>120177.64659306819</v>
      </c>
      <c r="H14" s="12">
        <f t="shared" si="0"/>
        <v>122977.63594651218</v>
      </c>
      <c r="I14" s="12">
        <f t="shared" si="0"/>
        <v>475668.24961968273</v>
      </c>
      <c r="J14" s="12">
        <f t="shared" si="0"/>
        <v>123879.13037519893</v>
      </c>
      <c r="K14" s="12">
        <f t="shared" si="0"/>
        <v>124479.06036070539</v>
      </c>
      <c r="L14" s="12">
        <f t="shared" si="0"/>
        <v>126479.5783658554</v>
      </c>
      <c r="M14" s="12">
        <f t="shared" si="0"/>
        <v>128001.8311645667</v>
      </c>
      <c r="N14" s="12">
        <f t="shared" si="0"/>
        <v>502839.60026632639</v>
      </c>
      <c r="P14" s="402" t="s">
        <v>378</v>
      </c>
      <c r="Q14" s="471">
        <f>(N7-L7)+1</f>
        <v>365</v>
      </c>
    </row>
    <row r="15" spans="1:249" s="233" customFormat="1" ht="18" customHeight="1" x14ac:dyDescent="0.2">
      <c r="A15" s="4">
        <v>15</v>
      </c>
      <c r="B15" s="433" t="s">
        <v>22</v>
      </c>
      <c r="C15" s="608"/>
      <c r="D15" s="609"/>
      <c r="E15" s="434"/>
      <c r="F15" s="435">
        <f>F14/E14-1</f>
        <v>7.8689991271336801E-3</v>
      </c>
      <c r="G15" s="435">
        <f>G14/F14-1</f>
        <v>2.9693104148478922E-2</v>
      </c>
      <c r="H15" s="435">
        <f>H14/G14-1</f>
        <v>2.3298753410648798E-2</v>
      </c>
      <c r="I15" s="435"/>
      <c r="J15" s="435">
        <f>J14/H14-1</f>
        <v>7.3305558506495672E-3</v>
      </c>
      <c r="K15" s="435">
        <f>K14/J14-1</f>
        <v>4.8428656521031233E-3</v>
      </c>
      <c r="L15" s="435">
        <f>L14/K14-1</f>
        <v>1.607112071181338E-2</v>
      </c>
      <c r="M15" s="435">
        <f>M14/L14-1</f>
        <v>1.2035561933231742E-2</v>
      </c>
      <c r="N15" s="435"/>
      <c r="P15" s="402" t="s">
        <v>338</v>
      </c>
      <c r="Q15" s="472">
        <f>Q8+Q9+Q10+Q11</f>
        <v>1096</v>
      </c>
    </row>
    <row r="16" spans="1:249" s="8" customFormat="1" ht="18" customHeight="1" x14ac:dyDescent="0.2">
      <c r="A16" s="4">
        <v>16</v>
      </c>
      <c r="B16" s="436"/>
      <c r="C16"/>
      <c r="D16"/>
      <c r="E16" s="436"/>
      <c r="F16" s="436"/>
      <c r="G16" s="436"/>
      <c r="H16" s="436"/>
      <c r="I16" s="437"/>
      <c r="J16" s="437"/>
      <c r="K16" s="437"/>
      <c r="L16" s="437"/>
      <c r="M16" s="437"/>
      <c r="N16" s="437"/>
      <c r="P16" s="402" t="s">
        <v>336</v>
      </c>
      <c r="Q16" s="472">
        <f>+Q15-365</f>
        <v>731</v>
      </c>
    </row>
    <row r="17" spans="1:17" ht="18" customHeight="1" x14ac:dyDescent="0.2">
      <c r="A17" s="4">
        <v>17</v>
      </c>
      <c r="B17" s="13"/>
      <c r="C17"/>
      <c r="D17"/>
      <c r="K17" s="14"/>
      <c r="L17" s="14"/>
      <c r="M17" s="507"/>
      <c r="N17" s="14"/>
      <c r="P17" s="413" t="s">
        <v>337</v>
      </c>
      <c r="Q17" s="473">
        <f>SUM(Q8:Q10)</f>
        <v>730</v>
      </c>
    </row>
    <row r="18" spans="1:17" ht="27.75" customHeight="1" x14ac:dyDescent="0.2">
      <c r="A18" s="4">
        <v>18</v>
      </c>
      <c r="B18" s="15"/>
      <c r="C18"/>
      <c r="D18"/>
      <c r="E18" s="241"/>
      <c r="F18" s="242"/>
      <c r="G18" s="242"/>
      <c r="H18" s="242"/>
      <c r="J18" s="299" t="s">
        <v>17</v>
      </c>
      <c r="K18" s="299" t="s">
        <v>17</v>
      </c>
      <c r="L18" s="14"/>
      <c r="M18" s="14"/>
      <c r="N18" s="14"/>
      <c r="P18" s="414" t="s">
        <v>336</v>
      </c>
      <c r="Q18" s="473">
        <f>Q17-365</f>
        <v>365</v>
      </c>
    </row>
    <row r="19" spans="1:17" ht="17.25" customHeight="1" x14ac:dyDescent="0.2">
      <c r="A19" s="4">
        <v>19</v>
      </c>
      <c r="E19" s="241"/>
      <c r="F19" s="242"/>
      <c r="G19" s="242"/>
      <c r="H19" s="242"/>
      <c r="J19" s="300" t="s">
        <v>341</v>
      </c>
      <c r="K19" s="300" t="s">
        <v>342</v>
      </c>
      <c r="P19" s="402" t="s">
        <v>379</v>
      </c>
      <c r="Q19" s="472">
        <f>SUM(Q8:Q12)</f>
        <v>1461</v>
      </c>
    </row>
    <row r="20" spans="1:17" ht="12.75" customHeight="1" x14ac:dyDescent="0.2">
      <c r="A20" s="4">
        <v>20</v>
      </c>
      <c r="B20" s="247"/>
      <c r="C20" s="266"/>
      <c r="D20" s="266"/>
      <c r="E20" s="247"/>
      <c r="F20" s="247"/>
      <c r="G20" s="247"/>
      <c r="H20" s="246"/>
      <c r="I20" s="380" t="str">
        <f>'D1. Member Months'!B10</f>
        <v>Nursing Home Level of Care</v>
      </c>
      <c r="J20" s="301">
        <f>I10+N10</f>
        <v>946013.55704258685</v>
      </c>
      <c r="K20" s="301">
        <f>I10+N10+G32+L32+Q32</f>
        <v>2535618.2629762422</v>
      </c>
      <c r="P20" s="402" t="s">
        <v>336</v>
      </c>
      <c r="Q20" s="472">
        <f>+Q19-365</f>
        <v>1096</v>
      </c>
    </row>
    <row r="21" spans="1:17" ht="12.75" customHeight="1" x14ac:dyDescent="0.2">
      <c r="A21" s="4">
        <v>21</v>
      </c>
      <c r="B21" s="378" t="s">
        <v>290</v>
      </c>
      <c r="C21" s="379"/>
      <c r="D21" s="19"/>
      <c r="E21" s="58"/>
      <c r="F21" s="58"/>
      <c r="G21" s="58"/>
      <c r="H21" s="246"/>
      <c r="I21" s="380" t="str">
        <f>'D1. Member Months'!B11</f>
        <v>Non-Nursing Home Level of Care</v>
      </c>
      <c r="J21" s="301">
        <f>I11+N11</f>
        <v>32494.292843422296</v>
      </c>
      <c r="K21" s="469">
        <f>I11+N11+G33+L33+Q33</f>
        <v>84300.342781408341</v>
      </c>
      <c r="P21" s="413" t="s">
        <v>380</v>
      </c>
      <c r="Q21" s="473">
        <f>SUM(Q8:Q13)</f>
        <v>1826</v>
      </c>
    </row>
    <row r="22" spans="1:17" ht="12.75" customHeight="1" x14ac:dyDescent="0.2">
      <c r="A22" s="4">
        <v>22</v>
      </c>
      <c r="B22" s="386" t="s">
        <v>291</v>
      </c>
      <c r="D22" s="103"/>
      <c r="E22" s="103"/>
      <c r="F22" s="103"/>
      <c r="G22" s="103"/>
      <c r="H22" s="411"/>
      <c r="I22" s="380"/>
      <c r="J22" s="301"/>
      <c r="K22" s="469"/>
      <c r="P22" s="414" t="s">
        <v>336</v>
      </c>
      <c r="Q22" s="473">
        <f>Q21-365</f>
        <v>1461</v>
      </c>
    </row>
    <row r="23" spans="1:17" ht="13.5" thickBot="1" x14ac:dyDescent="0.25">
      <c r="A23" s="4">
        <v>23</v>
      </c>
      <c r="B23" s="393" t="s">
        <v>370</v>
      </c>
      <c r="C23" s="427"/>
      <c r="D23" s="428"/>
      <c r="E23" s="428"/>
      <c r="F23" s="428"/>
      <c r="G23" s="428"/>
      <c r="H23" s="438"/>
      <c r="I23" s="380"/>
      <c r="J23" s="301"/>
      <c r="K23" s="470"/>
      <c r="O23" s="442"/>
      <c r="P23" s="441" t="s">
        <v>381</v>
      </c>
      <c r="Q23" s="474">
        <f>SUM(Q8:Q14)</f>
        <v>2191</v>
      </c>
    </row>
    <row r="24" spans="1:17" ht="14.25" thickTop="1" thickBot="1" x14ac:dyDescent="0.25">
      <c r="A24" s="17">
        <v>24</v>
      </c>
      <c r="B24" s="393" t="s">
        <v>371</v>
      </c>
      <c r="C24" s="393"/>
      <c r="D24" s="393"/>
      <c r="E24" s="393"/>
      <c r="F24" s="393"/>
      <c r="G24" s="393"/>
      <c r="H24" s="439"/>
      <c r="J24" s="431">
        <f>SUM(J20:J23)</f>
        <v>978507.84988600912</v>
      </c>
      <c r="K24" s="431">
        <f>SUM(K20:K23)</f>
        <v>2619918.6057576505</v>
      </c>
      <c r="O24" s="443"/>
      <c r="P24" s="414" t="s">
        <v>336</v>
      </c>
      <c r="Q24" s="473">
        <f>Q23-365</f>
        <v>1826</v>
      </c>
    </row>
    <row r="25" spans="1:17" x14ac:dyDescent="0.2">
      <c r="A25" s="17">
        <v>25</v>
      </c>
      <c r="B25" s="393" t="s">
        <v>340</v>
      </c>
      <c r="C25" s="393"/>
      <c r="D25" s="393"/>
      <c r="E25" s="393"/>
      <c r="F25" s="393"/>
      <c r="G25" s="393"/>
      <c r="H25" s="439"/>
      <c r="K25" s="14"/>
      <c r="O25" s="14"/>
    </row>
    <row r="26" spans="1:17" x14ac:dyDescent="0.2">
      <c r="A26" s="17">
        <v>26</v>
      </c>
      <c r="B26" s="99"/>
      <c r="C26" s="103"/>
      <c r="D26" s="103"/>
      <c r="E26" s="103"/>
      <c r="F26" s="103"/>
      <c r="G26" s="103"/>
      <c r="H26" s="103"/>
      <c r="K26" s="243"/>
      <c r="L26" s="429"/>
      <c r="M26" s="14"/>
      <c r="N26" s="429"/>
      <c r="O26" s="14"/>
    </row>
    <row r="27" spans="1:17" x14ac:dyDescent="0.2">
      <c r="A27" s="17">
        <v>27</v>
      </c>
      <c r="B27" s="99"/>
      <c r="C27" s="103"/>
      <c r="D27" s="103"/>
      <c r="E27" s="103"/>
      <c r="F27" s="103"/>
      <c r="G27" s="103"/>
      <c r="H27" s="103"/>
      <c r="K27" s="243"/>
      <c r="L27" s="430"/>
      <c r="N27" s="430"/>
    </row>
    <row r="28" spans="1:17" x14ac:dyDescent="0.2">
      <c r="A28" s="17">
        <v>28</v>
      </c>
      <c r="B28" s="99"/>
      <c r="C28" s="103"/>
      <c r="D28" s="103"/>
      <c r="E28" s="103"/>
      <c r="F28" s="103"/>
      <c r="G28" s="103"/>
      <c r="H28"/>
    </row>
    <row r="29" spans="1:17" x14ac:dyDescent="0.2">
      <c r="A29" s="17">
        <v>29</v>
      </c>
      <c r="B29" s="99"/>
      <c r="C29" s="103"/>
      <c r="D29" s="103"/>
      <c r="E29" s="103"/>
      <c r="F29" s="103"/>
      <c r="G29" s="103"/>
      <c r="H29"/>
      <c r="I29"/>
    </row>
    <row r="30" spans="1:17" ht="24" customHeight="1" x14ac:dyDescent="0.2">
      <c r="A30" s="17">
        <v>30</v>
      </c>
      <c r="B30" s="432" t="s">
        <v>14</v>
      </c>
      <c r="C30" s="297" t="s">
        <v>343</v>
      </c>
      <c r="D30" s="263" t="s">
        <v>344</v>
      </c>
      <c r="E30" s="263" t="s">
        <v>345</v>
      </c>
      <c r="F30" s="263" t="s">
        <v>346</v>
      </c>
      <c r="G30" s="264" t="s">
        <v>347</v>
      </c>
      <c r="H30" s="263" t="s">
        <v>348</v>
      </c>
      <c r="I30" s="263" t="s">
        <v>349</v>
      </c>
      <c r="J30" s="263" t="s">
        <v>350</v>
      </c>
      <c r="K30" s="263" t="s">
        <v>351</v>
      </c>
      <c r="L30" s="264" t="s">
        <v>352</v>
      </c>
      <c r="M30" s="263" t="s">
        <v>355</v>
      </c>
      <c r="N30" s="263" t="s">
        <v>356</v>
      </c>
      <c r="O30" s="263" t="s">
        <v>357</v>
      </c>
      <c r="P30" s="263" t="s">
        <v>358</v>
      </c>
      <c r="Q30" s="264" t="s">
        <v>359</v>
      </c>
    </row>
    <row r="31" spans="1:17" ht="18" customHeight="1" x14ac:dyDescent="0.2">
      <c r="A31" s="17">
        <v>31</v>
      </c>
      <c r="B31" s="295"/>
      <c r="C31" s="422">
        <f>D7</f>
        <v>42736</v>
      </c>
      <c r="D31" s="423">
        <f>C31+90</f>
        <v>42826</v>
      </c>
      <c r="E31" s="423">
        <f>D31+91</f>
        <v>42917</v>
      </c>
      <c r="F31" s="423">
        <f>E31+92</f>
        <v>43009</v>
      </c>
      <c r="G31" s="265" t="s">
        <v>353</v>
      </c>
      <c r="H31" s="423">
        <f>H7</f>
        <v>43101</v>
      </c>
      <c r="I31" s="423">
        <f>H31+90</f>
        <v>43191</v>
      </c>
      <c r="J31" s="423">
        <f>I31+91</f>
        <v>43282</v>
      </c>
      <c r="K31" s="423">
        <f>J31+92</f>
        <v>43374</v>
      </c>
      <c r="L31" s="265" t="s">
        <v>354</v>
      </c>
      <c r="M31" s="423">
        <f>L7</f>
        <v>43466</v>
      </c>
      <c r="N31" s="423">
        <f>+M31+90</f>
        <v>43556</v>
      </c>
      <c r="O31" s="423">
        <f>N31+91</f>
        <v>43647</v>
      </c>
      <c r="P31" s="423">
        <f>O31+92</f>
        <v>43739</v>
      </c>
      <c r="Q31" s="265" t="s">
        <v>360</v>
      </c>
    </row>
    <row r="32" spans="1:17" ht="18" customHeight="1" x14ac:dyDescent="0.2">
      <c r="A32" s="17">
        <v>32</v>
      </c>
      <c r="B32" s="380" t="str">
        <f>'D1. Member Months'!B10</f>
        <v>Nursing Home Level of Care</v>
      </c>
      <c r="C32" s="369">
        <v>124656.53083885854</v>
      </c>
      <c r="D32" s="373">
        <v>125243.82607213029</v>
      </c>
      <c r="E32" s="373">
        <v>127782.42725246899</v>
      </c>
      <c r="F32" s="373">
        <v>128394.91940614674</v>
      </c>
      <c r="G32" s="9">
        <f>SUM(C32:F32)</f>
        <v>506077.70356960455</v>
      </c>
      <c r="H32" s="375">
        <v>130030.84897951693</v>
      </c>
      <c r="I32" s="375">
        <v>133115.92913229976</v>
      </c>
      <c r="J32" s="375">
        <v>134966.69817892695</v>
      </c>
      <c r="K32" s="375">
        <v>135663.89772848779</v>
      </c>
      <c r="L32" s="9">
        <f>SUM(H32:K32)</f>
        <v>533777.37401923141</v>
      </c>
      <c r="M32" s="375">
        <v>136368.27168890531</v>
      </c>
      <c r="N32" s="375">
        <v>137072.86045913573</v>
      </c>
      <c r="O32" s="375">
        <v>137790.67332190007</v>
      </c>
      <c r="P32" s="375">
        <v>138517.82287487845</v>
      </c>
      <c r="Q32" s="9">
        <f>SUM(M32:P32)</f>
        <v>549749.62834481953</v>
      </c>
    </row>
    <row r="33" spans="1:17" ht="18" customHeight="1" x14ac:dyDescent="0.2">
      <c r="A33" s="17">
        <v>33</v>
      </c>
      <c r="B33" s="380" t="str">
        <f>'D1. Member Months'!B11</f>
        <v>Non-Nursing Home Level of Care</v>
      </c>
      <c r="C33" s="369">
        <v>4177.6312500887598</v>
      </c>
      <c r="D33" s="373">
        <v>4201.3114353977244</v>
      </c>
      <c r="E33" s="373">
        <v>4225.4374960601954</v>
      </c>
      <c r="F33" s="373">
        <v>4249.862900616451</v>
      </c>
      <c r="G33" s="9">
        <f>SUM(C33:F33)</f>
        <v>16854.243082163131</v>
      </c>
      <c r="H33" s="375">
        <v>4274.2883051727076</v>
      </c>
      <c r="I33" s="375">
        <v>4299.2179264059068</v>
      </c>
      <c r="J33" s="375">
        <v>4327.7861088161635</v>
      </c>
      <c r="K33" s="375">
        <v>4354.965860723787</v>
      </c>
      <c r="L33" s="9">
        <f>SUM(H33:K33)</f>
        <v>17256.258201118566</v>
      </c>
      <c r="M33" s="375">
        <v>4382.3751974159077</v>
      </c>
      <c r="N33" s="375">
        <v>4409.7914081309391</v>
      </c>
      <c r="O33" s="375">
        <v>4437.6257362068172</v>
      </c>
      <c r="P33" s="375">
        <v>4465.7563129506889</v>
      </c>
      <c r="Q33" s="9">
        <f>SUM(M33:P33)</f>
        <v>17695.548654704355</v>
      </c>
    </row>
    <row r="34" spans="1:17" ht="18" customHeight="1" x14ac:dyDescent="0.2">
      <c r="A34" s="17">
        <v>34</v>
      </c>
      <c r="B34" s="380"/>
      <c r="C34" s="369"/>
      <c r="D34" s="373"/>
      <c r="E34" s="373"/>
      <c r="F34" s="373"/>
      <c r="G34" s="9"/>
      <c r="H34" s="375"/>
      <c r="I34" s="375"/>
      <c r="J34" s="375"/>
      <c r="K34" s="375"/>
      <c r="L34" s="9"/>
      <c r="M34" s="375"/>
      <c r="N34" s="375"/>
      <c r="O34" s="375"/>
      <c r="P34" s="375"/>
      <c r="Q34" s="9"/>
    </row>
    <row r="35" spans="1:17" ht="18" customHeight="1" thickBot="1" x14ac:dyDescent="0.25">
      <c r="A35" s="17">
        <v>35</v>
      </c>
      <c r="B35" s="380"/>
      <c r="C35" s="371"/>
      <c r="D35" s="374"/>
      <c r="E35" s="374"/>
      <c r="F35" s="374"/>
      <c r="G35" s="11"/>
      <c r="H35" s="376"/>
      <c r="I35" s="376"/>
      <c r="J35" s="376"/>
      <c r="K35" s="376"/>
      <c r="L35" s="9"/>
      <c r="M35" s="376"/>
      <c r="N35" s="376"/>
      <c r="O35" s="376"/>
      <c r="P35" s="376"/>
      <c r="Q35" s="9"/>
    </row>
    <row r="36" spans="1:17" ht="18" customHeight="1" thickTop="1" x14ac:dyDescent="0.2">
      <c r="A36" s="17">
        <v>36</v>
      </c>
      <c r="B36" s="296" t="s">
        <v>21</v>
      </c>
      <c r="C36" s="298">
        <f>SUM(C32:C35)</f>
        <v>128834.1620889473</v>
      </c>
      <c r="D36" s="12">
        <f>SUM(D32:D35)</f>
        <v>129445.13750752802</v>
      </c>
      <c r="E36" s="12">
        <f>SUM(E32:E35)</f>
        <v>132007.86474852919</v>
      </c>
      <c r="F36" s="12">
        <f>SUM(F32:F35)</f>
        <v>132644.7823067632</v>
      </c>
      <c r="G36" s="12">
        <f>SUM(G32:G35)</f>
        <v>522931.94665176771</v>
      </c>
      <c r="H36" s="12">
        <f t="shared" ref="H36:Q36" si="1">SUM(H32:H35)</f>
        <v>134305.13728468964</v>
      </c>
      <c r="I36" s="12">
        <f t="shared" si="1"/>
        <v>137415.14705870565</v>
      </c>
      <c r="J36" s="12">
        <f t="shared" si="1"/>
        <v>139294.48428774311</v>
      </c>
      <c r="K36" s="12">
        <f t="shared" si="1"/>
        <v>140018.86358921157</v>
      </c>
      <c r="L36" s="12">
        <f t="shared" si="1"/>
        <v>551033.63222034997</v>
      </c>
      <c r="M36" s="12">
        <f t="shared" si="1"/>
        <v>140750.64688632122</v>
      </c>
      <c r="N36" s="12">
        <f t="shared" si="1"/>
        <v>141482.65186726666</v>
      </c>
      <c r="O36" s="12">
        <f t="shared" si="1"/>
        <v>142228.2990581069</v>
      </c>
      <c r="P36" s="12">
        <f t="shared" si="1"/>
        <v>142983.57918782913</v>
      </c>
      <c r="Q36" s="12">
        <f t="shared" si="1"/>
        <v>567445.17699952389</v>
      </c>
    </row>
    <row r="37" spans="1:17" ht="18" customHeight="1" x14ac:dyDescent="0.2">
      <c r="A37" s="17">
        <v>37</v>
      </c>
      <c r="B37" s="433" t="s">
        <v>22</v>
      </c>
      <c r="C37" s="435">
        <f>C36/M14-1</f>
        <v>6.5024923222427589E-3</v>
      </c>
      <c r="D37" s="435">
        <f>D36/C36-1</f>
        <v>4.7423401423523082E-3</v>
      </c>
      <c r="E37" s="435">
        <f>E36/D36-1</f>
        <v>1.9797786848904542E-2</v>
      </c>
      <c r="F37" s="435">
        <f>F36/E36-1</f>
        <v>4.8248455457355899E-3</v>
      </c>
      <c r="G37" s="435"/>
      <c r="H37" s="435">
        <f>H36/F36-1</f>
        <v>1.2517303349984799E-2</v>
      </c>
      <c r="I37" s="435">
        <f>I36/H36-1</f>
        <v>2.3156297941333781E-2</v>
      </c>
      <c r="J37" s="435">
        <f>J36/I36-1</f>
        <v>1.3676346962206321E-2</v>
      </c>
      <c r="K37" s="435">
        <f>K36/J36-1</f>
        <v>5.2003444728803139E-3</v>
      </c>
      <c r="L37" s="435"/>
      <c r="M37" s="435">
        <f>M36/K36-1</f>
        <v>5.226319356915754E-3</v>
      </c>
      <c r="N37" s="435">
        <f>N36/M36-1</f>
        <v>5.2007219656804438E-3</v>
      </c>
      <c r="O37" s="435">
        <f>O36/N36-1</f>
        <v>5.2702375944986279E-3</v>
      </c>
      <c r="P37" s="435">
        <f>P36/O36-1</f>
        <v>5.3103365133662095E-3</v>
      </c>
      <c r="Q37" s="435"/>
    </row>
    <row r="38" spans="1:17" ht="18" customHeight="1" x14ac:dyDescent="0.2">
      <c r="A38" s="17">
        <v>38</v>
      </c>
      <c r="B38" s="436"/>
      <c r="C38" s="436"/>
      <c r="D38" s="436"/>
      <c r="E38" s="436"/>
      <c r="F38" s="436"/>
      <c r="G38" s="437"/>
      <c r="H38" s="437"/>
      <c r="I38" s="437"/>
      <c r="J38" s="437"/>
      <c r="K38" s="437"/>
      <c r="L38" s="437"/>
      <c r="M38" s="437"/>
      <c r="N38" s="437"/>
      <c r="O38" s="437"/>
      <c r="P38" s="437"/>
      <c r="Q38" s="437"/>
    </row>
    <row r="39" spans="1:17" x14ac:dyDescent="0.2">
      <c r="A39" s="17">
        <v>39</v>
      </c>
    </row>
    <row r="40" spans="1:17" x14ac:dyDescent="0.2">
      <c r="A40" s="17">
        <v>40</v>
      </c>
    </row>
    <row r="41" spans="1:17" x14ac:dyDescent="0.2">
      <c r="A41" s="17">
        <v>41</v>
      </c>
      <c r="C41" s="432" t="s">
        <v>362</v>
      </c>
      <c r="D41" s="432" t="s">
        <v>363</v>
      </c>
      <c r="E41" s="432" t="s">
        <v>364</v>
      </c>
      <c r="F41" s="432" t="s">
        <v>365</v>
      </c>
      <c r="G41" s="432" t="s">
        <v>366</v>
      </c>
      <c r="H41" s="432" t="s">
        <v>367</v>
      </c>
      <c r="I41" s="432" t="s">
        <v>368</v>
      </c>
      <c r="J41" s="432" t="s">
        <v>369</v>
      </c>
    </row>
    <row r="42" spans="1:17" x14ac:dyDescent="0.2">
      <c r="A42" s="17">
        <v>42</v>
      </c>
      <c r="B42" s="440" t="s">
        <v>361</v>
      </c>
      <c r="C42" s="467">
        <f>(((D14/Q8)*(Q8+Q9))/C14)-1</f>
        <v>2.9687117894022563E-2</v>
      </c>
      <c r="D42" s="468">
        <f>(((I14/((D14/Q8)*Q10))^(365/Q18))-1)</f>
        <v>5.1763204284074549E-2</v>
      </c>
      <c r="E42" s="468">
        <f>N14/I14-1</f>
        <v>5.7122481200644115E-2</v>
      </c>
      <c r="F42" s="468">
        <f>G36/N14-1</f>
        <v>3.9957764612809976E-2</v>
      </c>
      <c r="G42" s="468">
        <f>L36/G36-1</f>
        <v>5.3738704908950163E-2</v>
      </c>
      <c r="H42" s="468">
        <f>Q36/L36-1</f>
        <v>2.9783199825834217E-2</v>
      </c>
      <c r="I42" s="563">
        <f>(((N14/((D14/Q8)*(Q8+Q9)))-1))</f>
        <v>0.11184252814832107</v>
      </c>
      <c r="J42" s="563">
        <f>(((Q36/((D14/Q8)*(Q8+Q9)))-1))</f>
        <v>0.25469370321383611</v>
      </c>
    </row>
    <row r="43" spans="1:17" x14ac:dyDescent="0.2">
      <c r="A43" s="17"/>
      <c r="C43"/>
      <c r="D43"/>
      <c r="E43"/>
      <c r="F43"/>
      <c r="G43"/>
      <c r="H43"/>
      <c r="I43"/>
      <c r="J43"/>
    </row>
    <row r="44" spans="1:17" x14ac:dyDescent="0.2">
      <c r="A44" s="17"/>
      <c r="C44"/>
      <c r="D44"/>
      <c r="E44"/>
      <c r="F44"/>
      <c r="G44"/>
      <c r="H44"/>
      <c r="I44"/>
      <c r="J44"/>
    </row>
    <row r="45" spans="1:17" x14ac:dyDescent="0.2">
      <c r="A45" s="17"/>
      <c r="C45" s="564"/>
    </row>
  </sheetData>
  <phoneticPr fontId="0" type="noConversion"/>
  <printOptions horizontalCentered="1"/>
  <pageMargins left="0.25" right="0.25" top="0.66" bottom="0.44" header="0.35" footer="0.17"/>
  <pageSetup paperSize="5" scale="70" orientation="landscape" r:id="rId1"/>
  <headerFooter alignWithMargins="0">
    <oddHeader>&amp;L&amp;"Arial,Bold"&amp;12State of Wisconsin&amp;C&amp;"Arial,Bold"&amp;12Appendix &amp;A&amp;R&amp;"Arial,Bold"&amp;12.</oddHeader>
    <oddFooter>&amp;L&amp;8'&amp;A'&amp;C&amp;8Page &amp;P of &amp;N&amp;R&amp;8&amp;F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75"/>
  <sheetViews>
    <sheetView showGridLines="0" zoomScaleNormal="100" workbookViewId="0"/>
  </sheetViews>
  <sheetFormatPr defaultRowHeight="12.75" x14ac:dyDescent="0.2"/>
  <cols>
    <col min="1" max="1" width="9.140625" style="492"/>
    <col min="2" max="2" width="77" style="495" customWidth="1"/>
    <col min="3" max="11" width="14.7109375" style="495" customWidth="1"/>
    <col min="12" max="12" width="14.5703125" style="495" customWidth="1"/>
    <col min="13" max="16384" width="9.140625" style="495"/>
  </cols>
  <sheetData>
    <row r="1" spans="1:77" s="490" customFormat="1" ht="33.75" x14ac:dyDescent="0.2">
      <c r="A1" s="489" t="s">
        <v>0</v>
      </c>
      <c r="B1" s="490" t="s">
        <v>1</v>
      </c>
      <c r="C1" s="490" t="s">
        <v>2</v>
      </c>
      <c r="D1" s="490" t="s">
        <v>3</v>
      </c>
      <c r="E1" s="490" t="s">
        <v>4</v>
      </c>
      <c r="F1" s="490" t="s">
        <v>5</v>
      </c>
      <c r="G1" s="490" t="s">
        <v>6</v>
      </c>
      <c r="H1" s="490" t="s">
        <v>7</v>
      </c>
      <c r="I1" s="490" t="s">
        <v>8</v>
      </c>
      <c r="J1" s="490" t="s">
        <v>9</v>
      </c>
      <c r="K1" s="490" t="s">
        <v>10</v>
      </c>
      <c r="L1" s="490" t="s">
        <v>11</v>
      </c>
    </row>
    <row r="2" spans="1:77" x14ac:dyDescent="0.2">
      <c r="A2" s="492">
        <v>2</v>
      </c>
      <c r="B2" s="18" t="s">
        <v>170</v>
      </c>
      <c r="C2" s="598"/>
      <c r="D2" s="598"/>
      <c r="E2" s="598"/>
      <c r="F2" s="598"/>
      <c r="G2" s="598"/>
      <c r="H2" s="598"/>
      <c r="I2" s="598"/>
      <c r="J2" s="598"/>
      <c r="K2" s="598"/>
      <c r="L2" s="599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494"/>
      <c r="AK2" s="494"/>
      <c r="AL2" s="494"/>
      <c r="AM2" s="494"/>
      <c r="AN2" s="494"/>
      <c r="AO2" s="494"/>
      <c r="AP2" s="494"/>
      <c r="AQ2" s="494"/>
      <c r="AR2" s="494"/>
      <c r="AS2" s="494"/>
      <c r="AT2" s="494"/>
      <c r="AU2" s="494"/>
      <c r="AV2" s="494"/>
      <c r="AW2" s="494"/>
      <c r="AX2" s="494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494"/>
      <c r="BY2" s="494"/>
    </row>
    <row r="3" spans="1:77" x14ac:dyDescent="0.2">
      <c r="A3" s="492">
        <v>3</v>
      </c>
      <c r="B3" s="496"/>
      <c r="C3" s="496"/>
      <c r="D3" s="496"/>
      <c r="E3" s="496" t="s">
        <v>339</v>
      </c>
      <c r="F3" s="496" t="s">
        <v>470</v>
      </c>
      <c r="G3" s="598"/>
      <c r="H3" s="598"/>
      <c r="I3" s="598"/>
      <c r="J3" s="598"/>
      <c r="K3" s="598"/>
      <c r="L3" s="599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4"/>
      <c r="AM3" s="494"/>
      <c r="AN3" s="494"/>
      <c r="AO3" s="494"/>
      <c r="AP3" s="494"/>
      <c r="AQ3" s="494"/>
      <c r="AR3" s="494"/>
      <c r="AS3" s="494"/>
      <c r="AT3" s="494"/>
      <c r="AU3" s="494"/>
      <c r="AV3" s="494"/>
      <c r="AW3" s="494"/>
      <c r="AX3" s="494"/>
      <c r="AY3" s="494"/>
      <c r="AZ3" s="494"/>
      <c r="BA3" s="494"/>
      <c r="BB3" s="494"/>
      <c r="BC3" s="494"/>
      <c r="BD3" s="494"/>
      <c r="BE3" s="494"/>
      <c r="BF3" s="494"/>
      <c r="BG3" s="494"/>
      <c r="BH3" s="494"/>
      <c r="BI3" s="494"/>
      <c r="BJ3" s="494"/>
      <c r="BK3" s="494"/>
      <c r="BL3" s="494"/>
      <c r="BM3" s="494"/>
      <c r="BN3" s="494"/>
      <c r="BO3" s="494"/>
      <c r="BP3" s="494"/>
      <c r="BQ3" s="494"/>
      <c r="BR3" s="494"/>
      <c r="BS3" s="494"/>
      <c r="BT3" s="494"/>
      <c r="BU3" s="494"/>
      <c r="BV3" s="494"/>
      <c r="BW3" s="494"/>
      <c r="BX3" s="494"/>
      <c r="BY3" s="494"/>
    </row>
    <row r="4" spans="1:77" x14ac:dyDescent="0.2">
      <c r="A4" s="492">
        <v>4</v>
      </c>
      <c r="B4" s="18" t="s">
        <v>201</v>
      </c>
      <c r="C4" s="598"/>
      <c r="D4" s="598"/>
      <c r="E4" s="600"/>
      <c r="F4" s="600"/>
      <c r="G4" s="598"/>
      <c r="H4" s="598"/>
      <c r="I4" s="598"/>
      <c r="J4" s="598"/>
      <c r="K4" s="598"/>
      <c r="L4" s="599"/>
      <c r="M4" s="494"/>
      <c r="N4" s="494"/>
      <c r="O4" s="494"/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494"/>
      <c r="AB4" s="494"/>
      <c r="AC4" s="494"/>
      <c r="AD4" s="494"/>
      <c r="AE4" s="494"/>
      <c r="AF4" s="494"/>
      <c r="AG4" s="494"/>
      <c r="AH4" s="494"/>
      <c r="AI4" s="49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494"/>
      <c r="BA4" s="494"/>
      <c r="BB4" s="494"/>
      <c r="BC4" s="494"/>
      <c r="BD4" s="494"/>
      <c r="BE4" s="494"/>
      <c r="BF4" s="494"/>
      <c r="BG4" s="494"/>
      <c r="BH4" s="494"/>
      <c r="BI4" s="494"/>
      <c r="BJ4" s="494"/>
      <c r="BK4" s="494"/>
      <c r="BL4" s="494"/>
      <c r="BM4" s="494"/>
      <c r="BN4" s="494"/>
      <c r="BO4" s="494"/>
      <c r="BP4" s="494"/>
      <c r="BQ4" s="494"/>
      <c r="BR4" s="494"/>
      <c r="BS4" s="494"/>
      <c r="BT4" s="494"/>
      <c r="BU4" s="494"/>
      <c r="BV4" s="494"/>
      <c r="BW4" s="494"/>
      <c r="BX4" s="494"/>
      <c r="BY4" s="494"/>
    </row>
    <row r="5" spans="1:77" x14ac:dyDescent="0.2">
      <c r="A5" s="492">
        <v>5</v>
      </c>
      <c r="B5" s="20" t="s">
        <v>156</v>
      </c>
      <c r="C5" s="598"/>
      <c r="D5" s="598"/>
      <c r="E5" s="598"/>
      <c r="F5" s="598"/>
      <c r="G5" s="598"/>
      <c r="H5" s="598"/>
      <c r="I5" s="598"/>
      <c r="J5" s="598"/>
      <c r="K5" s="598"/>
      <c r="L5" s="599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4"/>
      <c r="AL5" s="494"/>
      <c r="AM5" s="494"/>
      <c r="AN5" s="494"/>
      <c r="AO5" s="494"/>
      <c r="AP5" s="494"/>
      <c r="AQ5" s="494"/>
      <c r="AR5" s="494"/>
      <c r="AS5" s="494"/>
      <c r="AT5" s="494"/>
      <c r="AU5" s="494"/>
      <c r="AV5" s="494"/>
      <c r="AW5" s="494"/>
      <c r="AX5" s="494"/>
      <c r="AY5" s="494"/>
      <c r="AZ5" s="494"/>
      <c r="BA5" s="494"/>
      <c r="BB5" s="494"/>
      <c r="BC5" s="494"/>
      <c r="BD5" s="494"/>
      <c r="BE5" s="494"/>
      <c r="BF5" s="494"/>
      <c r="BG5" s="494"/>
      <c r="BH5" s="494"/>
      <c r="BI5" s="494"/>
      <c r="BJ5" s="494"/>
      <c r="BK5" s="494"/>
      <c r="BL5" s="494"/>
      <c r="BM5" s="494"/>
      <c r="BN5" s="494"/>
      <c r="BO5" s="494"/>
      <c r="BP5" s="494"/>
      <c r="BQ5" s="494"/>
      <c r="BR5" s="494"/>
      <c r="BS5" s="494"/>
      <c r="BT5" s="494"/>
      <c r="BU5" s="494"/>
      <c r="BV5" s="494"/>
      <c r="BW5" s="494"/>
      <c r="BX5" s="494"/>
      <c r="BY5" s="494"/>
    </row>
    <row r="6" spans="1:77" x14ac:dyDescent="0.2">
      <c r="A6" s="492">
        <v>6</v>
      </c>
      <c r="B6" s="21" t="s">
        <v>157</v>
      </c>
      <c r="C6" s="598"/>
      <c r="D6" s="598"/>
      <c r="E6" s="598"/>
      <c r="F6" s="598"/>
      <c r="G6" s="598"/>
      <c r="H6" s="598"/>
      <c r="I6" s="598"/>
      <c r="J6" s="598"/>
      <c r="K6" s="598"/>
      <c r="L6" s="599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4"/>
      <c r="AF6" s="494"/>
      <c r="AG6" s="494"/>
      <c r="AH6" s="494"/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  <c r="AU6" s="494"/>
      <c r="AV6" s="494"/>
      <c r="AW6" s="494"/>
      <c r="AX6" s="494"/>
      <c r="AY6" s="494"/>
      <c r="AZ6" s="494"/>
      <c r="BA6" s="494"/>
      <c r="BB6" s="494"/>
      <c r="BC6" s="494"/>
      <c r="BD6" s="494"/>
      <c r="BE6" s="494"/>
      <c r="BF6" s="494"/>
      <c r="BG6" s="494"/>
      <c r="BH6" s="494"/>
      <c r="BI6" s="494"/>
      <c r="BJ6" s="494"/>
      <c r="BK6" s="494"/>
      <c r="BL6" s="494"/>
      <c r="BM6" s="494"/>
      <c r="BN6" s="494"/>
      <c r="BO6" s="494"/>
      <c r="BP6" s="494"/>
      <c r="BQ6" s="494"/>
      <c r="BR6" s="494"/>
      <c r="BS6" s="494"/>
      <c r="BT6" s="494"/>
      <c r="BU6" s="494"/>
      <c r="BV6" s="494"/>
      <c r="BW6" s="494"/>
      <c r="BX6" s="494"/>
      <c r="BY6" s="494"/>
    </row>
    <row r="7" spans="1:77" ht="18" customHeight="1" x14ac:dyDescent="0.2">
      <c r="A7" s="492">
        <v>7</v>
      </c>
      <c r="B7" s="22"/>
      <c r="C7" s="498"/>
      <c r="D7" s="498"/>
      <c r="E7" s="498"/>
      <c r="F7" s="498"/>
      <c r="G7" s="498"/>
      <c r="H7" s="498"/>
      <c r="I7" s="498"/>
      <c r="J7" s="498"/>
      <c r="K7" s="498"/>
      <c r="L7" s="499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494"/>
      <c r="AI7" s="494"/>
      <c r="AJ7" s="494"/>
      <c r="AK7" s="494"/>
      <c r="AL7" s="494"/>
      <c r="AM7" s="494"/>
      <c r="AN7" s="494"/>
      <c r="AO7" s="494"/>
      <c r="AP7" s="494"/>
      <c r="AQ7" s="494"/>
      <c r="AR7" s="494"/>
      <c r="AS7" s="494"/>
      <c r="AT7" s="494"/>
      <c r="AU7" s="494"/>
      <c r="AV7" s="494"/>
      <c r="AW7" s="494"/>
      <c r="AX7" s="494"/>
      <c r="AY7" s="494"/>
      <c r="AZ7" s="494"/>
      <c r="BA7" s="494"/>
      <c r="BB7" s="494"/>
      <c r="BC7" s="494"/>
      <c r="BD7" s="494"/>
      <c r="BE7" s="494"/>
      <c r="BF7" s="494"/>
      <c r="BG7" s="494"/>
      <c r="BH7" s="494"/>
      <c r="BI7" s="494"/>
      <c r="BJ7" s="494"/>
      <c r="BK7" s="494"/>
      <c r="BL7" s="494"/>
      <c r="BM7" s="494"/>
      <c r="BN7" s="494"/>
      <c r="BO7" s="494"/>
      <c r="BP7" s="494"/>
      <c r="BQ7" s="494"/>
      <c r="BR7" s="494"/>
      <c r="BS7" s="494"/>
      <c r="BT7" s="494"/>
      <c r="BU7" s="494"/>
      <c r="BV7" s="494"/>
      <c r="BW7" s="494"/>
      <c r="BX7" s="494"/>
      <c r="BY7" s="494"/>
    </row>
    <row r="8" spans="1:77" x14ac:dyDescent="0.2">
      <c r="A8" s="492">
        <v>8</v>
      </c>
      <c r="B8" s="595" t="s">
        <v>23</v>
      </c>
      <c r="C8" s="613" t="s">
        <v>473</v>
      </c>
      <c r="D8" s="614"/>
      <c r="E8" s="614"/>
      <c r="F8" s="614"/>
      <c r="G8" s="615"/>
      <c r="H8" s="613" t="s">
        <v>474</v>
      </c>
      <c r="I8" s="614"/>
      <c r="J8" s="614"/>
      <c r="K8" s="614"/>
      <c r="L8" s="615"/>
    </row>
    <row r="9" spans="1:77" x14ac:dyDescent="0.2">
      <c r="A9" s="492">
        <v>9</v>
      </c>
      <c r="B9" s="610" t="s">
        <v>25</v>
      </c>
      <c r="C9" s="508" t="s">
        <v>26</v>
      </c>
      <c r="D9" s="508" t="s">
        <v>27</v>
      </c>
      <c r="E9" s="508" t="s">
        <v>28</v>
      </c>
      <c r="F9" s="509"/>
      <c r="G9" s="508" t="s">
        <v>475</v>
      </c>
      <c r="H9" s="508" t="s">
        <v>26</v>
      </c>
      <c r="I9" s="508" t="s">
        <v>27</v>
      </c>
      <c r="J9" s="508" t="s">
        <v>28</v>
      </c>
      <c r="K9" s="509"/>
      <c r="L9" s="508" t="s">
        <v>475</v>
      </c>
    </row>
    <row r="10" spans="1:77" x14ac:dyDescent="0.2">
      <c r="A10" s="492">
        <v>10</v>
      </c>
      <c r="B10" s="611"/>
      <c r="C10" s="510" t="s">
        <v>29</v>
      </c>
      <c r="D10" s="510" t="s">
        <v>30</v>
      </c>
      <c r="E10" s="510" t="s">
        <v>31</v>
      </c>
      <c r="F10" s="511" t="s">
        <v>476</v>
      </c>
      <c r="G10" s="510" t="s">
        <v>477</v>
      </c>
      <c r="H10" s="510" t="s">
        <v>29</v>
      </c>
      <c r="I10" s="510" t="s">
        <v>30</v>
      </c>
      <c r="J10" s="510" t="s">
        <v>31</v>
      </c>
      <c r="K10" s="511" t="s">
        <v>476</v>
      </c>
      <c r="L10" s="510" t="s">
        <v>477</v>
      </c>
    </row>
    <row r="11" spans="1:77" x14ac:dyDescent="0.2">
      <c r="A11" s="492">
        <v>11</v>
      </c>
      <c r="B11" s="612"/>
      <c r="C11" s="512" t="s">
        <v>30</v>
      </c>
      <c r="D11" s="512"/>
      <c r="E11" s="512" t="s">
        <v>32</v>
      </c>
      <c r="F11" s="512" t="s">
        <v>32</v>
      </c>
      <c r="G11" s="512" t="s">
        <v>30</v>
      </c>
      <c r="H11" s="512" t="s">
        <v>30</v>
      </c>
      <c r="I11" s="512"/>
      <c r="J11" s="512" t="s">
        <v>32</v>
      </c>
      <c r="K11" s="512" t="s">
        <v>32</v>
      </c>
      <c r="L11" s="512" t="s">
        <v>30</v>
      </c>
    </row>
    <row r="12" spans="1:77" x14ac:dyDescent="0.2">
      <c r="A12" s="492">
        <v>12</v>
      </c>
      <c r="B12" s="601" t="s">
        <v>478</v>
      </c>
      <c r="C12" s="603"/>
      <c r="D12" s="513"/>
      <c r="E12" s="513" t="s">
        <v>33</v>
      </c>
      <c r="F12" s="513"/>
      <c r="G12" s="604"/>
      <c r="H12" s="603"/>
      <c r="I12" s="513"/>
      <c r="J12" s="513"/>
      <c r="K12" s="513"/>
      <c r="L12" s="604"/>
    </row>
    <row r="13" spans="1:77" x14ac:dyDescent="0.2">
      <c r="A13" s="492">
        <v>13</v>
      </c>
      <c r="B13" s="602" t="s">
        <v>479</v>
      </c>
      <c r="C13" s="605"/>
      <c r="D13" s="514"/>
      <c r="E13" s="514" t="s">
        <v>33</v>
      </c>
      <c r="F13" s="514"/>
      <c r="G13" s="606"/>
      <c r="H13" s="605"/>
      <c r="I13" s="514"/>
      <c r="J13" s="514"/>
      <c r="K13" s="514"/>
      <c r="L13" s="606"/>
    </row>
    <row r="14" spans="1:77" x14ac:dyDescent="0.2">
      <c r="A14" s="492">
        <v>14</v>
      </c>
      <c r="B14" s="602" t="s">
        <v>480</v>
      </c>
      <c r="C14" s="605"/>
      <c r="D14" s="514"/>
      <c r="E14" s="514" t="s">
        <v>33</v>
      </c>
      <c r="F14" s="514"/>
      <c r="G14" s="606"/>
      <c r="H14" s="605"/>
      <c r="I14" s="514"/>
      <c r="J14" s="514"/>
      <c r="K14" s="514"/>
      <c r="L14" s="606"/>
    </row>
    <row r="15" spans="1:77" x14ac:dyDescent="0.2">
      <c r="A15" s="492">
        <v>15</v>
      </c>
      <c r="B15" s="602" t="s">
        <v>596</v>
      </c>
      <c r="C15" s="605" t="s">
        <v>33</v>
      </c>
      <c r="D15" s="514"/>
      <c r="E15" s="514" t="s">
        <v>33</v>
      </c>
      <c r="F15" s="514"/>
      <c r="G15" s="606"/>
      <c r="H15" s="605" t="s">
        <v>33</v>
      </c>
      <c r="I15" s="514"/>
      <c r="J15" s="514" t="s">
        <v>33</v>
      </c>
      <c r="K15" s="514"/>
      <c r="L15" s="606"/>
    </row>
    <row r="16" spans="1:77" x14ac:dyDescent="0.2">
      <c r="A16" s="492">
        <v>16</v>
      </c>
      <c r="B16" s="602" t="s">
        <v>604</v>
      </c>
      <c r="C16" s="605" t="s">
        <v>33</v>
      </c>
      <c r="D16" s="514"/>
      <c r="E16" s="514" t="s">
        <v>33</v>
      </c>
      <c r="F16" s="514"/>
      <c r="G16" s="606"/>
      <c r="H16" s="605" t="s">
        <v>33</v>
      </c>
      <c r="I16" s="514"/>
      <c r="J16" s="514" t="s">
        <v>33</v>
      </c>
      <c r="K16" s="514"/>
      <c r="L16" s="606"/>
    </row>
    <row r="17" spans="1:12" x14ac:dyDescent="0.2">
      <c r="A17" s="492">
        <v>17</v>
      </c>
      <c r="B17" s="602" t="s">
        <v>481</v>
      </c>
      <c r="C17" s="605" t="s">
        <v>33</v>
      </c>
      <c r="D17" s="514"/>
      <c r="E17" s="514" t="s">
        <v>33</v>
      </c>
      <c r="F17" s="514"/>
      <c r="G17" s="606"/>
      <c r="H17" s="605" t="s">
        <v>33</v>
      </c>
      <c r="I17" s="514"/>
      <c r="J17" s="514" t="s">
        <v>33</v>
      </c>
      <c r="K17" s="514"/>
      <c r="L17" s="606"/>
    </row>
    <row r="18" spans="1:12" x14ac:dyDescent="0.2">
      <c r="A18" s="492">
        <v>18</v>
      </c>
      <c r="B18" s="602" t="s">
        <v>597</v>
      </c>
      <c r="C18" s="605"/>
      <c r="D18" s="514"/>
      <c r="E18" s="514" t="s">
        <v>33</v>
      </c>
      <c r="F18" s="514"/>
      <c r="G18" s="606"/>
      <c r="H18" s="605"/>
      <c r="I18" s="514"/>
      <c r="J18" s="514"/>
      <c r="K18" s="514"/>
      <c r="L18" s="606"/>
    </row>
    <row r="19" spans="1:12" x14ac:dyDescent="0.2">
      <c r="A19" s="492">
        <v>19</v>
      </c>
      <c r="B19" s="602" t="s">
        <v>482</v>
      </c>
      <c r="C19" s="605" t="s">
        <v>33</v>
      </c>
      <c r="D19" s="514"/>
      <c r="E19" s="514" t="s">
        <v>33</v>
      </c>
      <c r="F19" s="514"/>
      <c r="G19" s="606"/>
      <c r="H19" s="605" t="s">
        <v>33</v>
      </c>
      <c r="I19" s="514"/>
      <c r="J19" s="514" t="s">
        <v>33</v>
      </c>
      <c r="K19" s="514"/>
      <c r="L19" s="606"/>
    </row>
    <row r="20" spans="1:12" x14ac:dyDescent="0.2">
      <c r="A20" s="492">
        <v>20</v>
      </c>
      <c r="B20" s="602" t="s">
        <v>598</v>
      </c>
      <c r="C20" s="605"/>
      <c r="D20" s="514"/>
      <c r="E20" s="514" t="s">
        <v>33</v>
      </c>
      <c r="F20" s="514"/>
      <c r="G20" s="606"/>
      <c r="H20" s="605"/>
      <c r="I20" s="514"/>
      <c r="J20" s="514"/>
      <c r="K20" s="514"/>
      <c r="L20" s="606"/>
    </row>
    <row r="21" spans="1:12" x14ac:dyDescent="0.2">
      <c r="A21" s="492">
        <v>21</v>
      </c>
      <c r="B21" s="602" t="s">
        <v>484</v>
      </c>
      <c r="C21" s="605"/>
      <c r="D21" s="514"/>
      <c r="E21" s="514" t="s">
        <v>33</v>
      </c>
      <c r="F21" s="514"/>
      <c r="G21" s="606"/>
      <c r="H21" s="605"/>
      <c r="I21" s="514"/>
      <c r="J21" s="514"/>
      <c r="K21" s="514"/>
      <c r="L21" s="606"/>
    </row>
    <row r="22" spans="1:12" x14ac:dyDescent="0.2">
      <c r="A22" s="492">
        <v>22</v>
      </c>
      <c r="B22" s="602" t="s">
        <v>483</v>
      </c>
      <c r="C22" s="605"/>
      <c r="D22" s="514"/>
      <c r="E22" s="514" t="s">
        <v>33</v>
      </c>
      <c r="F22" s="514"/>
      <c r="G22" s="606"/>
      <c r="H22" s="605"/>
      <c r="I22" s="514"/>
      <c r="J22" s="514"/>
      <c r="K22" s="514"/>
      <c r="L22" s="606"/>
    </row>
    <row r="23" spans="1:12" x14ac:dyDescent="0.2">
      <c r="A23" s="492">
        <v>23</v>
      </c>
      <c r="B23" s="602" t="s">
        <v>485</v>
      </c>
      <c r="C23" s="605"/>
      <c r="D23" s="514"/>
      <c r="E23" s="514" t="s">
        <v>33</v>
      </c>
      <c r="F23" s="514"/>
      <c r="G23" s="606"/>
      <c r="H23" s="605"/>
      <c r="I23" s="514"/>
      <c r="J23" s="514"/>
      <c r="K23" s="514"/>
      <c r="L23" s="606"/>
    </row>
    <row r="24" spans="1:12" x14ac:dyDescent="0.2">
      <c r="A24" s="492">
        <v>24</v>
      </c>
      <c r="B24" s="602" t="s">
        <v>599</v>
      </c>
      <c r="C24" s="605"/>
      <c r="D24" s="514"/>
      <c r="E24" s="514" t="s">
        <v>33</v>
      </c>
      <c r="F24" s="514"/>
      <c r="G24" s="606"/>
      <c r="H24" s="605"/>
      <c r="I24" s="514"/>
      <c r="J24" s="514"/>
      <c r="K24" s="514"/>
      <c r="L24" s="606"/>
    </row>
    <row r="25" spans="1:12" x14ac:dyDescent="0.2">
      <c r="A25" s="492">
        <v>25</v>
      </c>
      <c r="B25" s="602" t="s">
        <v>606</v>
      </c>
      <c r="C25" s="605"/>
      <c r="D25" s="514"/>
      <c r="E25" s="514" t="s">
        <v>33</v>
      </c>
      <c r="F25" s="514"/>
      <c r="G25" s="606"/>
      <c r="H25" s="605"/>
      <c r="I25" s="514"/>
      <c r="J25" s="514"/>
      <c r="K25" s="514"/>
      <c r="L25" s="606"/>
    </row>
    <row r="26" spans="1:12" x14ac:dyDescent="0.2">
      <c r="A26" s="492">
        <v>26</v>
      </c>
      <c r="B26" s="602" t="s">
        <v>487</v>
      </c>
      <c r="C26" s="605" t="s">
        <v>33</v>
      </c>
      <c r="D26" s="514"/>
      <c r="E26" s="514" t="s">
        <v>33</v>
      </c>
      <c r="F26" s="514"/>
      <c r="G26" s="606"/>
      <c r="H26" s="605" t="s">
        <v>33</v>
      </c>
      <c r="I26" s="514"/>
      <c r="J26" s="514" t="s">
        <v>33</v>
      </c>
      <c r="K26" s="514"/>
      <c r="L26" s="606"/>
    </row>
    <row r="27" spans="1:12" x14ac:dyDescent="0.2">
      <c r="A27" s="492">
        <v>27</v>
      </c>
      <c r="B27" s="602" t="s">
        <v>486</v>
      </c>
      <c r="C27" s="605" t="s">
        <v>33</v>
      </c>
      <c r="D27" s="514"/>
      <c r="E27" s="514" t="s">
        <v>33</v>
      </c>
      <c r="F27" s="514"/>
      <c r="G27" s="606"/>
      <c r="H27" s="605" t="s">
        <v>33</v>
      </c>
      <c r="I27" s="514"/>
      <c r="J27" s="514" t="s">
        <v>33</v>
      </c>
      <c r="K27" s="514"/>
      <c r="L27" s="606"/>
    </row>
    <row r="28" spans="1:12" x14ac:dyDescent="0.2">
      <c r="A28" s="492">
        <v>28</v>
      </c>
      <c r="B28" s="602" t="s">
        <v>488</v>
      </c>
      <c r="C28" s="605"/>
      <c r="D28" s="514"/>
      <c r="E28" s="514" t="s">
        <v>33</v>
      </c>
      <c r="F28" s="514"/>
      <c r="G28" s="606"/>
      <c r="H28" s="605"/>
      <c r="I28" s="514"/>
      <c r="J28" s="514"/>
      <c r="K28" s="514"/>
      <c r="L28" s="606"/>
    </row>
    <row r="29" spans="1:12" x14ac:dyDescent="0.2">
      <c r="A29" s="492">
        <v>29</v>
      </c>
      <c r="B29" s="602" t="s">
        <v>468</v>
      </c>
      <c r="C29" s="605" t="s">
        <v>33</v>
      </c>
      <c r="D29" s="514"/>
      <c r="E29" s="514" t="s">
        <v>33</v>
      </c>
      <c r="F29" s="514"/>
      <c r="G29" s="606"/>
      <c r="H29" s="605" t="s">
        <v>33</v>
      </c>
      <c r="I29" s="514"/>
      <c r="J29" s="514" t="s">
        <v>33</v>
      </c>
      <c r="K29" s="514"/>
      <c r="L29" s="606"/>
    </row>
    <row r="30" spans="1:12" x14ac:dyDescent="0.2">
      <c r="A30" s="492">
        <v>30</v>
      </c>
      <c r="B30" s="602" t="s">
        <v>489</v>
      </c>
      <c r="C30" s="605"/>
      <c r="D30" s="514"/>
      <c r="E30" s="514" t="s">
        <v>33</v>
      </c>
      <c r="F30" s="514"/>
      <c r="G30" s="606"/>
      <c r="H30" s="605"/>
      <c r="I30" s="514"/>
      <c r="J30" s="514"/>
      <c r="K30" s="514"/>
      <c r="L30" s="606"/>
    </row>
    <row r="31" spans="1:12" x14ac:dyDescent="0.2">
      <c r="A31" s="492">
        <v>31</v>
      </c>
      <c r="B31" s="602" t="s">
        <v>490</v>
      </c>
      <c r="C31" s="605"/>
      <c r="D31" s="514"/>
      <c r="E31" s="514" t="s">
        <v>33</v>
      </c>
      <c r="F31" s="514"/>
      <c r="G31" s="606"/>
      <c r="H31" s="605"/>
      <c r="I31" s="514"/>
      <c r="J31" s="514"/>
      <c r="K31" s="514"/>
      <c r="L31" s="606"/>
    </row>
    <row r="32" spans="1:12" x14ac:dyDescent="0.2">
      <c r="A32" s="492">
        <v>32</v>
      </c>
      <c r="B32" s="602" t="s">
        <v>491</v>
      </c>
      <c r="C32" s="605"/>
      <c r="D32" s="514"/>
      <c r="E32" s="514" t="s">
        <v>33</v>
      </c>
      <c r="F32" s="514"/>
      <c r="G32" s="606"/>
      <c r="H32" s="605"/>
      <c r="I32" s="514"/>
      <c r="J32" s="514"/>
      <c r="K32" s="514"/>
      <c r="L32" s="606"/>
    </row>
    <row r="33" spans="1:12" x14ac:dyDescent="0.2">
      <c r="A33" s="492">
        <v>33</v>
      </c>
      <c r="B33" s="602" t="s">
        <v>605</v>
      </c>
      <c r="C33" s="605" t="s">
        <v>33</v>
      </c>
      <c r="D33" s="514"/>
      <c r="E33" s="514" t="s">
        <v>33</v>
      </c>
      <c r="F33" s="514"/>
      <c r="G33" s="606"/>
      <c r="H33" s="605" t="s">
        <v>33</v>
      </c>
      <c r="I33" s="514"/>
      <c r="J33" s="514" t="s">
        <v>33</v>
      </c>
      <c r="K33" s="514"/>
      <c r="L33" s="606"/>
    </row>
    <row r="34" spans="1:12" x14ac:dyDescent="0.2">
      <c r="A34" s="492">
        <v>34</v>
      </c>
      <c r="B34" s="602" t="s">
        <v>492</v>
      </c>
      <c r="C34" s="605" t="s">
        <v>33</v>
      </c>
      <c r="D34" s="514"/>
      <c r="E34" s="514" t="s">
        <v>33</v>
      </c>
      <c r="F34" s="514"/>
      <c r="G34" s="606"/>
      <c r="H34" s="605" t="s">
        <v>33</v>
      </c>
      <c r="I34" s="514"/>
      <c r="J34" s="514" t="s">
        <v>569</v>
      </c>
      <c r="K34" s="514"/>
      <c r="L34" s="606"/>
    </row>
    <row r="35" spans="1:12" x14ac:dyDescent="0.2">
      <c r="A35" s="492">
        <v>35</v>
      </c>
      <c r="B35" s="602" t="s">
        <v>607</v>
      </c>
      <c r="C35" s="605" t="s">
        <v>33</v>
      </c>
      <c r="D35" s="514"/>
      <c r="E35" s="514" t="s">
        <v>33</v>
      </c>
      <c r="F35" s="514"/>
      <c r="G35" s="606"/>
      <c r="H35" s="605" t="s">
        <v>33</v>
      </c>
      <c r="I35" s="514"/>
      <c r="J35" s="514" t="s">
        <v>569</v>
      </c>
      <c r="K35" s="514"/>
      <c r="L35" s="606"/>
    </row>
    <row r="36" spans="1:12" x14ac:dyDescent="0.2">
      <c r="A36" s="492">
        <v>36</v>
      </c>
      <c r="B36" s="602" t="s">
        <v>493</v>
      </c>
      <c r="C36" s="605" t="s">
        <v>33</v>
      </c>
      <c r="D36" s="514"/>
      <c r="E36" s="514" t="s">
        <v>33</v>
      </c>
      <c r="F36" s="514"/>
      <c r="G36" s="606"/>
      <c r="H36" s="605" t="s">
        <v>33</v>
      </c>
      <c r="I36" s="514"/>
      <c r="J36" s="514" t="s">
        <v>33</v>
      </c>
      <c r="K36" s="514"/>
      <c r="L36" s="606"/>
    </row>
    <row r="37" spans="1:12" x14ac:dyDescent="0.2">
      <c r="A37" s="492">
        <v>37</v>
      </c>
      <c r="B37" s="602" t="s">
        <v>469</v>
      </c>
      <c r="C37" s="605" t="s">
        <v>33</v>
      </c>
      <c r="D37" s="514"/>
      <c r="E37" s="514" t="s">
        <v>33</v>
      </c>
      <c r="F37" s="514"/>
      <c r="G37" s="606"/>
      <c r="H37" s="605" t="s">
        <v>33</v>
      </c>
      <c r="I37" s="514"/>
      <c r="J37" s="514" t="s">
        <v>33</v>
      </c>
      <c r="K37" s="514"/>
      <c r="L37" s="606"/>
    </row>
    <row r="38" spans="1:12" x14ac:dyDescent="0.2">
      <c r="A38" s="492">
        <v>38</v>
      </c>
      <c r="B38" s="602" t="s">
        <v>494</v>
      </c>
      <c r="C38" s="605"/>
      <c r="D38" s="514"/>
      <c r="E38" s="514" t="s">
        <v>33</v>
      </c>
      <c r="F38" s="514"/>
      <c r="G38" s="606"/>
      <c r="H38" s="605"/>
      <c r="I38" s="514"/>
      <c r="J38" s="514"/>
      <c r="K38" s="514"/>
      <c r="L38" s="606"/>
    </row>
    <row r="39" spans="1:12" x14ac:dyDescent="0.2">
      <c r="A39" s="492">
        <v>39</v>
      </c>
      <c r="B39" s="602" t="s">
        <v>495</v>
      </c>
      <c r="C39" s="605" t="s">
        <v>33</v>
      </c>
      <c r="D39" s="514"/>
      <c r="E39" s="514" t="s">
        <v>33</v>
      </c>
      <c r="F39" s="514"/>
      <c r="G39" s="606"/>
      <c r="H39" s="605" t="s">
        <v>33</v>
      </c>
      <c r="I39" s="514"/>
      <c r="J39" s="514" t="s">
        <v>33</v>
      </c>
      <c r="K39" s="514"/>
      <c r="L39" s="606"/>
    </row>
    <row r="40" spans="1:12" x14ac:dyDescent="0.2">
      <c r="A40" s="492">
        <v>40</v>
      </c>
      <c r="B40" s="602" t="s">
        <v>496</v>
      </c>
      <c r="C40" s="605"/>
      <c r="D40" s="514"/>
      <c r="E40" s="514" t="s">
        <v>33</v>
      </c>
      <c r="F40" s="514"/>
      <c r="G40" s="606"/>
      <c r="H40" s="605"/>
      <c r="I40" s="514"/>
      <c r="J40" s="514"/>
      <c r="K40" s="514"/>
      <c r="L40" s="606"/>
    </row>
    <row r="41" spans="1:12" x14ac:dyDescent="0.2">
      <c r="A41" s="492">
        <v>41</v>
      </c>
      <c r="B41" s="602" t="s">
        <v>497</v>
      </c>
      <c r="C41" s="605"/>
      <c r="D41" s="514"/>
      <c r="E41" s="514" t="s">
        <v>33</v>
      </c>
      <c r="F41" s="514"/>
      <c r="G41" s="606"/>
      <c r="H41" s="605"/>
      <c r="I41" s="514"/>
      <c r="J41" s="514"/>
      <c r="K41" s="514"/>
      <c r="L41" s="606"/>
    </row>
    <row r="42" spans="1:12" x14ac:dyDescent="0.2">
      <c r="A42" s="492">
        <v>42</v>
      </c>
      <c r="B42" s="602" t="s">
        <v>498</v>
      </c>
      <c r="C42" s="605"/>
      <c r="D42" s="514"/>
      <c r="E42" s="514" t="s">
        <v>33</v>
      </c>
      <c r="F42" s="514"/>
      <c r="G42" s="606"/>
      <c r="H42" s="605"/>
      <c r="I42" s="514"/>
      <c r="J42" s="514"/>
      <c r="K42" s="514"/>
      <c r="L42" s="606"/>
    </row>
    <row r="43" spans="1:12" x14ac:dyDescent="0.2">
      <c r="A43" s="492">
        <v>43</v>
      </c>
      <c r="B43" s="602" t="s">
        <v>499</v>
      </c>
      <c r="C43" s="605" t="s">
        <v>33</v>
      </c>
      <c r="D43" s="514"/>
      <c r="E43" s="514" t="s">
        <v>33</v>
      </c>
      <c r="F43" s="514"/>
      <c r="G43" s="606"/>
      <c r="H43" s="605" t="s">
        <v>33</v>
      </c>
      <c r="I43" s="514"/>
      <c r="J43" s="514" t="s">
        <v>33</v>
      </c>
      <c r="K43" s="514"/>
      <c r="L43" s="606"/>
    </row>
    <row r="44" spans="1:12" x14ac:dyDescent="0.2">
      <c r="A44" s="492">
        <v>44</v>
      </c>
      <c r="B44" s="602" t="s">
        <v>500</v>
      </c>
      <c r="C44" s="605"/>
      <c r="D44" s="514"/>
      <c r="E44" s="514" t="s">
        <v>33</v>
      </c>
      <c r="F44" s="514"/>
      <c r="G44" s="606"/>
      <c r="H44" s="605"/>
      <c r="I44" s="514"/>
      <c r="J44" s="514"/>
      <c r="K44" s="514"/>
      <c r="L44" s="606"/>
    </row>
    <row r="45" spans="1:12" x14ac:dyDescent="0.2">
      <c r="A45" s="492">
        <v>45</v>
      </c>
      <c r="B45" s="602" t="s">
        <v>573</v>
      </c>
      <c r="C45" s="605"/>
      <c r="D45" s="514"/>
      <c r="E45" s="514" t="s">
        <v>33</v>
      </c>
      <c r="F45" s="514"/>
      <c r="G45" s="606"/>
      <c r="H45" s="605"/>
      <c r="I45" s="514"/>
      <c r="J45" s="514"/>
      <c r="K45" s="514"/>
      <c r="L45" s="606"/>
    </row>
    <row r="46" spans="1:12" x14ac:dyDescent="0.2">
      <c r="A46" s="492">
        <v>46</v>
      </c>
      <c r="B46" s="602" t="s">
        <v>501</v>
      </c>
      <c r="C46" s="605" t="s">
        <v>33</v>
      </c>
      <c r="D46" s="514"/>
      <c r="E46" s="514" t="s">
        <v>33</v>
      </c>
      <c r="F46" s="514"/>
      <c r="G46" s="606"/>
      <c r="H46" s="605" t="s">
        <v>33</v>
      </c>
      <c r="I46" s="514"/>
      <c r="J46" s="514" t="s">
        <v>33</v>
      </c>
      <c r="K46" s="514"/>
      <c r="L46" s="606"/>
    </row>
    <row r="47" spans="1:12" x14ac:dyDescent="0.2">
      <c r="A47" s="492">
        <v>47</v>
      </c>
      <c r="B47" s="602" t="s">
        <v>502</v>
      </c>
      <c r="C47" s="605"/>
      <c r="D47" s="514"/>
      <c r="E47" s="514" t="s">
        <v>33</v>
      </c>
      <c r="F47" s="514"/>
      <c r="G47" s="606"/>
      <c r="H47" s="605"/>
      <c r="I47" s="514"/>
      <c r="J47" s="514"/>
      <c r="K47" s="514"/>
      <c r="L47" s="606"/>
    </row>
    <row r="48" spans="1:12" x14ac:dyDescent="0.2">
      <c r="A48" s="492">
        <v>48</v>
      </c>
      <c r="B48" s="602" t="s">
        <v>600</v>
      </c>
      <c r="C48" s="605" t="s">
        <v>33</v>
      </c>
      <c r="D48" s="514"/>
      <c r="E48" s="514" t="s">
        <v>33</v>
      </c>
      <c r="F48" s="514"/>
      <c r="G48" s="606"/>
      <c r="H48" s="605" t="s">
        <v>33</v>
      </c>
      <c r="I48" s="514"/>
      <c r="J48" s="514" t="s">
        <v>33</v>
      </c>
      <c r="K48" s="514"/>
      <c r="L48" s="606"/>
    </row>
    <row r="49" spans="1:12" x14ac:dyDescent="0.2">
      <c r="A49" s="492">
        <v>49</v>
      </c>
      <c r="B49" s="602" t="s">
        <v>601</v>
      </c>
      <c r="C49" s="605"/>
      <c r="D49" s="514"/>
      <c r="E49" s="514" t="s">
        <v>33</v>
      </c>
      <c r="F49" s="514"/>
      <c r="G49" s="606"/>
      <c r="H49" s="605"/>
      <c r="I49" s="514"/>
      <c r="J49" s="514"/>
      <c r="K49" s="514"/>
      <c r="L49" s="606"/>
    </row>
    <row r="50" spans="1:12" x14ac:dyDescent="0.2">
      <c r="A50" s="492">
        <v>50</v>
      </c>
      <c r="B50" s="602" t="s">
        <v>602</v>
      </c>
      <c r="C50" s="605"/>
      <c r="D50" s="514"/>
      <c r="E50" s="514" t="s">
        <v>33</v>
      </c>
      <c r="F50" s="514"/>
      <c r="G50" s="606"/>
      <c r="H50" s="605"/>
      <c r="I50" s="514"/>
      <c r="J50" s="514"/>
      <c r="K50" s="514"/>
      <c r="L50" s="606"/>
    </row>
    <row r="51" spans="1:12" x14ac:dyDescent="0.2">
      <c r="A51" s="492">
        <v>51</v>
      </c>
      <c r="B51" s="602" t="s">
        <v>503</v>
      </c>
      <c r="C51" s="605"/>
      <c r="D51" s="514"/>
      <c r="E51" s="514" t="s">
        <v>33</v>
      </c>
      <c r="F51" s="514"/>
      <c r="G51" s="606"/>
      <c r="H51" s="605"/>
      <c r="I51" s="514"/>
      <c r="J51" s="514"/>
      <c r="K51" s="514"/>
      <c r="L51" s="606"/>
    </row>
    <row r="52" spans="1:12" x14ac:dyDescent="0.2">
      <c r="A52" s="492">
        <v>52</v>
      </c>
      <c r="B52" s="602" t="s">
        <v>572</v>
      </c>
      <c r="C52" s="605"/>
      <c r="D52" s="514"/>
      <c r="E52" s="514" t="s">
        <v>33</v>
      </c>
      <c r="F52" s="514"/>
      <c r="G52" s="606"/>
      <c r="H52" s="605"/>
      <c r="I52" s="514"/>
      <c r="J52" s="514"/>
      <c r="K52" s="514"/>
      <c r="L52" s="606"/>
    </row>
    <row r="53" spans="1:12" x14ac:dyDescent="0.2">
      <c r="A53" s="492">
        <v>53</v>
      </c>
      <c r="B53" s="602" t="s">
        <v>504</v>
      </c>
      <c r="C53" s="605" t="s">
        <v>33</v>
      </c>
      <c r="D53" s="514"/>
      <c r="E53" s="514" t="s">
        <v>33</v>
      </c>
      <c r="F53" s="514"/>
      <c r="G53" s="606"/>
      <c r="H53" s="605" t="s">
        <v>33</v>
      </c>
      <c r="I53" s="514"/>
      <c r="J53" s="514" t="s">
        <v>33</v>
      </c>
      <c r="K53" s="514"/>
      <c r="L53" s="606"/>
    </row>
    <row r="54" spans="1:12" x14ac:dyDescent="0.2">
      <c r="A54" s="492">
        <v>54</v>
      </c>
      <c r="B54" s="602" t="s">
        <v>608</v>
      </c>
      <c r="C54" s="605"/>
      <c r="D54" s="514"/>
      <c r="E54" s="514" t="s">
        <v>33</v>
      </c>
      <c r="F54" s="514"/>
      <c r="G54" s="606"/>
      <c r="H54" s="605"/>
      <c r="I54" s="514"/>
      <c r="J54" s="514"/>
      <c r="K54" s="514"/>
      <c r="L54" s="606"/>
    </row>
    <row r="55" spans="1:12" x14ac:dyDescent="0.2">
      <c r="A55" s="492">
        <v>55</v>
      </c>
      <c r="B55" s="602" t="s">
        <v>610</v>
      </c>
      <c r="C55" s="605"/>
      <c r="D55" s="514"/>
      <c r="E55" s="514" t="s">
        <v>33</v>
      </c>
      <c r="F55" s="514"/>
      <c r="G55" s="606"/>
      <c r="H55" s="605"/>
      <c r="I55" s="514"/>
      <c r="J55" s="514"/>
      <c r="K55" s="514"/>
      <c r="L55" s="606"/>
    </row>
    <row r="56" spans="1:12" x14ac:dyDescent="0.2">
      <c r="A56" s="492">
        <v>56</v>
      </c>
      <c r="B56" s="602" t="s">
        <v>609</v>
      </c>
      <c r="C56" s="605" t="s">
        <v>33</v>
      </c>
      <c r="D56" s="514"/>
      <c r="E56" s="514" t="s">
        <v>33</v>
      </c>
      <c r="F56" s="514"/>
      <c r="G56" s="606"/>
      <c r="H56" s="605" t="s">
        <v>33</v>
      </c>
      <c r="I56" s="514"/>
      <c r="J56" s="514" t="s">
        <v>33</v>
      </c>
      <c r="K56" s="514"/>
      <c r="L56" s="606"/>
    </row>
    <row r="57" spans="1:12" x14ac:dyDescent="0.2">
      <c r="A57" s="492">
        <v>57</v>
      </c>
      <c r="B57" s="602" t="s">
        <v>505</v>
      </c>
      <c r="C57" s="605"/>
      <c r="D57" s="514"/>
      <c r="E57" s="514" t="s">
        <v>33</v>
      </c>
      <c r="F57" s="514"/>
      <c r="G57" s="606"/>
      <c r="H57" s="605"/>
      <c r="I57" s="514"/>
      <c r="J57" s="514"/>
      <c r="K57" s="514"/>
      <c r="L57" s="606"/>
    </row>
    <row r="58" spans="1:12" x14ac:dyDescent="0.2">
      <c r="A58" s="492">
        <v>58</v>
      </c>
      <c r="B58" s="596"/>
      <c r="C58" s="492"/>
      <c r="D58" s="492"/>
      <c r="E58" s="492"/>
      <c r="F58" s="492"/>
      <c r="G58" s="492"/>
      <c r="H58" s="492"/>
      <c r="I58" s="492"/>
      <c r="J58" s="492"/>
      <c r="K58" s="492"/>
      <c r="L58" s="492"/>
    </row>
    <row r="59" spans="1:12" x14ac:dyDescent="0.2">
      <c r="A59" s="492">
        <v>59</v>
      </c>
      <c r="B59" s="501"/>
      <c r="C59" s="492"/>
      <c r="D59" s="492"/>
      <c r="E59" s="492"/>
      <c r="F59" s="492"/>
      <c r="G59" s="492"/>
      <c r="H59" s="492"/>
      <c r="I59" s="492"/>
      <c r="J59" s="492"/>
      <c r="K59" s="492"/>
      <c r="L59" s="492"/>
    </row>
    <row r="60" spans="1:12" x14ac:dyDescent="0.2">
      <c r="A60" s="492">
        <v>60</v>
      </c>
      <c r="B60" s="502" t="s">
        <v>289</v>
      </c>
      <c r="C60" s="579"/>
      <c r="D60" s="492"/>
      <c r="E60" s="492"/>
      <c r="F60" s="492"/>
      <c r="G60" s="492"/>
      <c r="H60" s="492"/>
      <c r="I60" s="492"/>
      <c r="J60" s="492"/>
      <c r="K60" s="492"/>
      <c r="L60" s="492"/>
    </row>
    <row r="61" spans="1:12" x14ac:dyDescent="0.2">
      <c r="A61" s="492">
        <v>61</v>
      </c>
      <c r="B61" s="503" t="s">
        <v>291</v>
      </c>
      <c r="C61" s="500"/>
      <c r="D61" s="500"/>
      <c r="E61" s="500"/>
      <c r="F61" s="500"/>
      <c r="G61" s="500"/>
      <c r="H61" s="500"/>
      <c r="I61" s="500"/>
      <c r="J61" s="500"/>
      <c r="K61" s="500"/>
      <c r="L61" s="596"/>
    </row>
    <row r="62" spans="1:12" x14ac:dyDescent="0.2">
      <c r="A62" s="504"/>
    </row>
    <row r="63" spans="1:12" x14ac:dyDescent="0.2">
      <c r="A63" s="504"/>
    </row>
    <row r="64" spans="1:12" x14ac:dyDescent="0.2">
      <c r="B64"/>
    </row>
    <row r="66" spans="1:1" x14ac:dyDescent="0.2">
      <c r="A66" s="504"/>
    </row>
    <row r="67" spans="1:1" x14ac:dyDescent="0.2">
      <c r="A67" s="504"/>
    </row>
    <row r="68" spans="1:1" x14ac:dyDescent="0.2">
      <c r="A68" s="504"/>
    </row>
    <row r="69" spans="1:1" x14ac:dyDescent="0.2">
      <c r="A69" s="504"/>
    </row>
    <row r="70" spans="1:1" x14ac:dyDescent="0.2">
      <c r="A70" s="504"/>
    </row>
    <row r="71" spans="1:1" x14ac:dyDescent="0.2">
      <c r="A71" s="504"/>
    </row>
    <row r="72" spans="1:1" x14ac:dyDescent="0.2">
      <c r="A72" s="504"/>
    </row>
    <row r="73" spans="1:1" x14ac:dyDescent="0.2">
      <c r="A73" s="504"/>
    </row>
    <row r="74" spans="1:1" x14ac:dyDescent="0.2">
      <c r="A74" s="504"/>
    </row>
    <row r="75" spans="1:1" x14ac:dyDescent="0.2">
      <c r="A75" s="504"/>
    </row>
  </sheetData>
  <mergeCells count="3">
    <mergeCell ref="B9:B11"/>
    <mergeCell ref="C8:G8"/>
    <mergeCell ref="H8:L8"/>
  </mergeCells>
  <pageMargins left="0.25" right="0.25" top="0.46" bottom="0.4" header="0.24" footer="0.24"/>
  <pageSetup paperSize="5" scale="75" fitToHeight="0" orientation="landscape" r:id="rId1"/>
  <headerFooter alignWithMargins="0">
    <oddHeader xml:space="preserve">&amp;L&amp;"Arial,Bold"&amp;12State of Wisconsin&amp;C&amp;"Arial,Bold"&amp;12Appendix &amp;A&amp;R&amp;"Arial,Bold"&amp;12 </oddHeader>
    <oddFooter>&amp;L&amp;8'&amp;A'&amp;C&amp;8Page &amp;P of &amp;N&amp;R&amp;8&amp;F</oddFooter>
  </headerFooter>
  <rowBreaks count="1" manualBreakCount="1">
    <brk id="5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A66"/>
  <sheetViews>
    <sheetView workbookViewId="0"/>
  </sheetViews>
  <sheetFormatPr defaultRowHeight="12.75" x14ac:dyDescent="0.2"/>
  <cols>
    <col min="1" max="1" width="9.140625" style="496"/>
    <col min="2" max="2" width="11.7109375" style="496" customWidth="1"/>
    <col min="3" max="3" width="60.85546875" style="496" customWidth="1"/>
    <col min="4" max="4" width="9.28515625" style="496" customWidth="1"/>
    <col min="5" max="5" width="11.7109375" style="496" customWidth="1"/>
    <col min="6" max="9" width="18.140625" style="496" customWidth="1"/>
    <col min="10" max="16384" width="9.140625" style="496"/>
  </cols>
  <sheetData>
    <row r="1" spans="1:79" s="490" customFormat="1" ht="33.75" x14ac:dyDescent="0.2">
      <c r="A1" s="489" t="s">
        <v>0</v>
      </c>
      <c r="B1" s="490" t="s">
        <v>1</v>
      </c>
      <c r="C1" s="490" t="s">
        <v>2</v>
      </c>
      <c r="D1" s="490" t="s">
        <v>3</v>
      </c>
      <c r="E1" s="490" t="s">
        <v>4</v>
      </c>
      <c r="F1" s="490" t="s">
        <v>5</v>
      </c>
      <c r="G1" s="490" t="s">
        <v>6</v>
      </c>
      <c r="H1" s="490" t="s">
        <v>7</v>
      </c>
      <c r="I1" s="490" t="s">
        <v>8</v>
      </c>
      <c r="L1" s="491"/>
    </row>
    <row r="2" spans="1:79" s="495" customFormat="1" x14ac:dyDescent="0.2">
      <c r="A2" s="492">
        <v>2</v>
      </c>
      <c r="B2" s="18" t="s">
        <v>226</v>
      </c>
      <c r="C2" s="493"/>
      <c r="D2" s="493"/>
      <c r="E2" s="493"/>
      <c r="F2" s="493"/>
      <c r="G2" s="493"/>
      <c r="H2" s="493"/>
      <c r="I2" s="493"/>
      <c r="J2" s="493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494"/>
      <c r="AK2" s="494"/>
      <c r="AL2" s="494"/>
      <c r="AM2" s="494"/>
      <c r="AN2" s="494"/>
      <c r="AO2" s="494"/>
      <c r="AP2" s="494"/>
      <c r="AQ2" s="494"/>
      <c r="AR2" s="494"/>
      <c r="AS2" s="494"/>
      <c r="AT2" s="494"/>
      <c r="AU2" s="494"/>
      <c r="AV2" s="494"/>
      <c r="AW2" s="494"/>
      <c r="AX2" s="494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494"/>
      <c r="BY2" s="494"/>
      <c r="BZ2" s="494"/>
      <c r="CA2" s="494"/>
    </row>
    <row r="3" spans="1:79" s="495" customFormat="1" x14ac:dyDescent="0.2">
      <c r="A3" s="492">
        <v>3</v>
      </c>
      <c r="B3" s="496"/>
      <c r="C3" s="496"/>
      <c r="D3" s="496" t="s">
        <v>339</v>
      </c>
      <c r="E3" s="496" t="str">
        <f>'D1. Member Months'!G4</f>
        <v>Wisconsin</v>
      </c>
      <c r="F3" s="493"/>
      <c r="G3" s="493"/>
      <c r="H3" s="493"/>
      <c r="I3" s="493"/>
      <c r="J3" s="493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4"/>
      <c r="AM3" s="494"/>
      <c r="AN3" s="494"/>
      <c r="AO3" s="494"/>
      <c r="AP3" s="494"/>
      <c r="AQ3" s="494"/>
      <c r="AR3" s="494"/>
      <c r="AS3" s="494"/>
      <c r="AT3" s="494"/>
      <c r="AU3" s="494"/>
      <c r="AV3" s="494"/>
      <c r="AW3" s="494"/>
      <c r="AX3" s="494"/>
      <c r="AY3" s="494"/>
      <c r="AZ3" s="494"/>
      <c r="BA3" s="494"/>
      <c r="BB3" s="494"/>
      <c r="BC3" s="494"/>
      <c r="BD3" s="494"/>
      <c r="BE3" s="494"/>
      <c r="BF3" s="494"/>
      <c r="BG3" s="494"/>
      <c r="BH3" s="494"/>
      <c r="BI3" s="494"/>
      <c r="BJ3" s="494"/>
      <c r="BK3" s="494"/>
      <c r="BL3" s="494"/>
      <c r="BM3" s="494"/>
      <c r="BN3" s="494"/>
      <c r="BO3" s="494"/>
      <c r="BP3" s="494"/>
      <c r="BQ3" s="494"/>
      <c r="BR3" s="494"/>
      <c r="BS3" s="494"/>
      <c r="BT3" s="494"/>
      <c r="BU3" s="494"/>
      <c r="BV3" s="494"/>
      <c r="BW3" s="494"/>
      <c r="BX3" s="494"/>
      <c r="BY3" s="494"/>
      <c r="BZ3" s="494"/>
      <c r="CA3" s="494"/>
    </row>
    <row r="4" spans="1:79" s="495" customFormat="1" x14ac:dyDescent="0.2">
      <c r="A4" s="492">
        <v>4</v>
      </c>
      <c r="B4" s="18" t="s">
        <v>201</v>
      </c>
      <c r="C4" s="497"/>
      <c r="D4" s="497"/>
      <c r="E4" s="497"/>
      <c r="F4" s="493"/>
      <c r="G4" s="493"/>
      <c r="H4" s="493"/>
      <c r="I4" s="493"/>
      <c r="J4" s="493"/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494"/>
      <c r="AB4" s="494"/>
      <c r="AC4" s="494"/>
      <c r="AD4" s="494"/>
      <c r="AE4" s="494"/>
      <c r="AF4" s="494"/>
      <c r="AG4" s="494"/>
      <c r="AH4" s="494"/>
      <c r="AI4" s="49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494"/>
      <c r="BA4" s="494"/>
      <c r="BB4" s="494"/>
      <c r="BC4" s="494"/>
      <c r="BD4" s="494"/>
      <c r="BE4" s="494"/>
      <c r="BF4" s="494"/>
      <c r="BG4" s="494"/>
      <c r="BH4" s="494"/>
      <c r="BI4" s="494"/>
      <c r="BJ4" s="494"/>
      <c r="BK4" s="494"/>
      <c r="BL4" s="494"/>
      <c r="BM4" s="494"/>
      <c r="BN4" s="494"/>
      <c r="BO4" s="494"/>
      <c r="BP4" s="494"/>
      <c r="BQ4" s="494"/>
      <c r="BR4" s="494"/>
      <c r="BS4" s="494"/>
      <c r="BT4" s="494"/>
      <c r="BU4" s="494"/>
      <c r="BV4" s="494"/>
      <c r="BW4" s="494"/>
      <c r="BX4" s="494"/>
      <c r="BY4" s="494"/>
      <c r="BZ4" s="494"/>
      <c r="CA4" s="494"/>
    </row>
    <row r="5" spans="1:79" s="495" customFormat="1" x14ac:dyDescent="0.2">
      <c r="A5" s="492">
        <v>5</v>
      </c>
      <c r="B5" s="18" t="s">
        <v>227</v>
      </c>
      <c r="C5" s="493"/>
      <c r="D5" s="493"/>
      <c r="E5" s="493"/>
      <c r="F5" s="493"/>
      <c r="G5" s="493"/>
      <c r="H5" s="493"/>
      <c r="I5" s="493"/>
      <c r="J5" s="493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4"/>
      <c r="AL5" s="494"/>
      <c r="AM5" s="494"/>
      <c r="AN5" s="494"/>
      <c r="AO5" s="494"/>
      <c r="AP5" s="494"/>
      <c r="AQ5" s="494"/>
      <c r="AR5" s="494"/>
      <c r="AS5" s="494"/>
      <c r="AT5" s="494"/>
      <c r="AU5" s="494"/>
      <c r="AV5" s="494"/>
      <c r="AW5" s="494"/>
      <c r="AX5" s="494"/>
      <c r="AY5" s="494"/>
      <c r="AZ5" s="494"/>
      <c r="BA5" s="494"/>
      <c r="BB5" s="494"/>
      <c r="BC5" s="494"/>
      <c r="BD5" s="494"/>
      <c r="BE5" s="494"/>
      <c r="BF5" s="494"/>
      <c r="BG5" s="494"/>
      <c r="BH5" s="494"/>
      <c r="BI5" s="494"/>
      <c r="BJ5" s="494"/>
      <c r="BK5" s="494"/>
      <c r="BL5" s="494"/>
      <c r="BM5" s="494"/>
      <c r="BN5" s="494"/>
      <c r="BO5" s="494"/>
      <c r="BP5" s="494"/>
      <c r="BQ5" s="494"/>
      <c r="BR5" s="494"/>
      <c r="BS5" s="494"/>
      <c r="BT5" s="494"/>
      <c r="BU5" s="494"/>
      <c r="BV5" s="494"/>
      <c r="BW5" s="494"/>
      <c r="BX5" s="494"/>
      <c r="BY5" s="494"/>
      <c r="BZ5" s="494"/>
      <c r="CA5" s="494"/>
    </row>
    <row r="6" spans="1:79" s="495" customFormat="1" x14ac:dyDescent="0.2">
      <c r="A6" s="492">
        <v>6</v>
      </c>
      <c r="B6" s="18"/>
      <c r="C6" s="493"/>
      <c r="D6" s="493"/>
      <c r="E6" s="493"/>
      <c r="F6" s="493"/>
      <c r="G6" s="493"/>
      <c r="H6" s="493"/>
      <c r="I6" s="493"/>
      <c r="J6" s="493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4"/>
      <c r="AF6" s="494"/>
      <c r="AG6" s="494"/>
      <c r="AH6" s="494"/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  <c r="AU6" s="494"/>
      <c r="AV6" s="494"/>
      <c r="AW6" s="494"/>
      <c r="AX6" s="494"/>
      <c r="AY6" s="494"/>
      <c r="AZ6" s="494"/>
      <c r="BA6" s="494"/>
      <c r="BB6" s="494"/>
      <c r="BC6" s="494"/>
      <c r="BD6" s="494"/>
      <c r="BE6" s="494"/>
      <c r="BF6" s="494"/>
      <c r="BG6" s="494"/>
      <c r="BH6" s="494"/>
      <c r="BI6" s="494"/>
      <c r="BJ6" s="494"/>
      <c r="BK6" s="494"/>
      <c r="BL6" s="494"/>
      <c r="BM6" s="494"/>
      <c r="BN6" s="494"/>
      <c r="BO6" s="494"/>
      <c r="BP6" s="494"/>
      <c r="BQ6" s="494"/>
      <c r="BR6" s="494"/>
      <c r="BS6" s="494"/>
      <c r="BT6" s="494"/>
      <c r="BU6" s="494"/>
      <c r="BV6" s="494"/>
      <c r="BW6" s="494"/>
      <c r="BX6" s="494"/>
      <c r="BY6" s="494"/>
      <c r="BZ6" s="494"/>
      <c r="CA6" s="494"/>
    </row>
    <row r="7" spans="1:79" s="495" customFormat="1" x14ac:dyDescent="0.2">
      <c r="A7" s="492">
        <v>7</v>
      </c>
      <c r="B7" s="493"/>
      <c r="C7" s="318"/>
      <c r="D7" s="493"/>
      <c r="E7" s="493"/>
      <c r="F7" s="616" t="s">
        <v>566</v>
      </c>
      <c r="G7" s="617"/>
      <c r="H7" s="618" t="s">
        <v>567</v>
      </c>
      <c r="I7" s="619"/>
      <c r="J7" s="493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494"/>
      <c r="AI7" s="494"/>
      <c r="AJ7" s="494"/>
      <c r="AK7" s="494"/>
      <c r="AL7" s="494"/>
      <c r="AM7" s="494"/>
      <c r="AN7" s="494"/>
      <c r="AO7" s="494"/>
      <c r="AP7" s="494"/>
      <c r="AQ7" s="494"/>
      <c r="AR7" s="494"/>
      <c r="AS7" s="494"/>
      <c r="AT7" s="494"/>
      <c r="AU7" s="494"/>
      <c r="AV7" s="494"/>
      <c r="AW7" s="494"/>
      <c r="AX7" s="494"/>
      <c r="AY7" s="494"/>
      <c r="AZ7" s="494"/>
      <c r="BA7" s="494"/>
      <c r="BB7" s="494"/>
      <c r="BC7" s="494"/>
      <c r="BD7" s="494"/>
      <c r="BE7" s="494"/>
      <c r="BF7" s="494"/>
      <c r="BG7" s="494"/>
      <c r="BH7" s="494"/>
      <c r="BI7" s="494"/>
      <c r="BJ7" s="494"/>
      <c r="BK7" s="494"/>
      <c r="BL7" s="494"/>
      <c r="BM7" s="494"/>
      <c r="BN7" s="494"/>
      <c r="BO7" s="494"/>
      <c r="BP7" s="494"/>
      <c r="BQ7" s="494"/>
      <c r="BR7" s="494"/>
      <c r="BS7" s="494"/>
      <c r="BT7" s="494"/>
      <c r="BU7" s="494"/>
      <c r="BV7" s="494"/>
      <c r="BW7" s="494"/>
      <c r="BX7" s="494"/>
      <c r="BY7" s="494"/>
      <c r="BZ7" s="494"/>
      <c r="CA7" s="494"/>
    </row>
    <row r="8" spans="1:79" s="495" customFormat="1" ht="25.5" x14ac:dyDescent="0.2">
      <c r="A8" s="492">
        <v>8</v>
      </c>
      <c r="B8" s="548" t="s">
        <v>228</v>
      </c>
      <c r="C8" s="505" t="s">
        <v>229</v>
      </c>
      <c r="D8" s="505" t="s">
        <v>230</v>
      </c>
      <c r="E8" s="505" t="s">
        <v>231</v>
      </c>
      <c r="F8" s="547" t="s">
        <v>471</v>
      </c>
      <c r="G8" s="547" t="s">
        <v>472</v>
      </c>
      <c r="H8" s="547" t="s">
        <v>471</v>
      </c>
      <c r="I8" s="547" t="s">
        <v>472</v>
      </c>
      <c r="J8" s="499"/>
      <c r="K8" s="499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4"/>
      <c r="X8" s="494"/>
      <c r="Y8" s="494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4"/>
      <c r="AS8" s="494"/>
      <c r="AT8" s="494"/>
      <c r="AU8" s="494"/>
      <c r="AV8" s="494"/>
      <c r="AW8" s="494"/>
      <c r="AX8" s="494"/>
      <c r="AY8" s="494"/>
      <c r="AZ8" s="494"/>
      <c r="BA8" s="494"/>
      <c r="BB8" s="494"/>
      <c r="BC8" s="494"/>
      <c r="BD8" s="494"/>
      <c r="BE8" s="494"/>
      <c r="BF8" s="494"/>
      <c r="BG8" s="494"/>
      <c r="BH8" s="494"/>
      <c r="BI8" s="494"/>
      <c r="BJ8" s="494"/>
      <c r="BK8" s="494"/>
      <c r="BL8" s="494"/>
      <c r="BM8" s="494"/>
      <c r="BN8" s="494"/>
      <c r="BO8" s="494"/>
      <c r="BP8" s="494"/>
      <c r="BQ8" s="494"/>
      <c r="BR8" s="494"/>
      <c r="BS8" s="494"/>
      <c r="BT8" s="494"/>
      <c r="BU8" s="494"/>
      <c r="BV8" s="494"/>
      <c r="BW8" s="494"/>
      <c r="BX8" s="494"/>
      <c r="BY8" s="494"/>
      <c r="BZ8" s="494"/>
    </row>
    <row r="9" spans="1:79" ht="24.95" customHeight="1" x14ac:dyDescent="0.2">
      <c r="A9" s="492">
        <v>9</v>
      </c>
      <c r="B9" s="538" t="s">
        <v>555</v>
      </c>
      <c r="C9" s="516" t="s">
        <v>293</v>
      </c>
      <c r="D9" s="517"/>
      <c r="E9" s="546" t="s">
        <v>294</v>
      </c>
      <c r="F9" s="549">
        <v>0</v>
      </c>
      <c r="G9" s="549">
        <v>0</v>
      </c>
      <c r="H9" s="549">
        <v>0</v>
      </c>
      <c r="I9" s="549">
        <v>0</v>
      </c>
    </row>
    <row r="10" spans="1:79" ht="24.95" customHeight="1" x14ac:dyDescent="0.2">
      <c r="A10" s="492">
        <v>10</v>
      </c>
      <c r="B10" s="539" t="s">
        <v>544</v>
      </c>
      <c r="C10" s="518" t="s">
        <v>542</v>
      </c>
      <c r="D10" s="519"/>
      <c r="E10" s="546" t="s">
        <v>294</v>
      </c>
      <c r="F10" s="549">
        <v>27343</v>
      </c>
      <c r="G10" s="549">
        <v>184</v>
      </c>
      <c r="H10" s="549">
        <v>0</v>
      </c>
      <c r="I10" s="549">
        <v>0</v>
      </c>
    </row>
    <row r="11" spans="1:79" ht="24.95" customHeight="1" x14ac:dyDescent="0.2">
      <c r="A11" s="492">
        <v>11</v>
      </c>
      <c r="B11" s="539" t="s">
        <v>520</v>
      </c>
      <c r="C11" s="518" t="s">
        <v>543</v>
      </c>
      <c r="D11" s="519"/>
      <c r="E11" s="546" t="s">
        <v>294</v>
      </c>
      <c r="F11" s="549">
        <v>397787</v>
      </c>
      <c r="G11" s="549">
        <v>2681</v>
      </c>
      <c r="H11" s="549">
        <v>0</v>
      </c>
      <c r="I11" s="549">
        <v>0</v>
      </c>
    </row>
    <row r="12" spans="1:79" ht="24.95" customHeight="1" x14ac:dyDescent="0.2">
      <c r="A12" s="492">
        <v>12</v>
      </c>
      <c r="B12" s="540" t="s">
        <v>545</v>
      </c>
      <c r="C12" s="520" t="s">
        <v>546</v>
      </c>
      <c r="D12" s="521"/>
      <c r="E12" s="546" t="s">
        <v>232</v>
      </c>
      <c r="F12" s="549">
        <v>692667</v>
      </c>
      <c r="G12" s="549">
        <v>5008</v>
      </c>
      <c r="H12" s="549">
        <v>748501</v>
      </c>
      <c r="I12" s="549">
        <v>5219</v>
      </c>
    </row>
    <row r="13" spans="1:79" ht="24.95" customHeight="1" x14ac:dyDescent="0.2">
      <c r="A13" s="492">
        <v>13</v>
      </c>
      <c r="B13" s="541" t="s">
        <v>520</v>
      </c>
      <c r="C13" s="522" t="s">
        <v>547</v>
      </c>
      <c r="D13" s="523"/>
      <c r="E13" s="546" t="s">
        <v>232</v>
      </c>
      <c r="F13" s="549">
        <v>0</v>
      </c>
      <c r="G13" s="549">
        <v>0</v>
      </c>
      <c r="H13" s="549">
        <v>0</v>
      </c>
      <c r="I13" s="549">
        <v>0</v>
      </c>
    </row>
    <row r="14" spans="1:79" ht="24.95" customHeight="1" x14ac:dyDescent="0.2">
      <c r="A14" s="492">
        <v>14</v>
      </c>
      <c r="B14" s="540" t="s">
        <v>548</v>
      </c>
      <c r="C14" s="520" t="s">
        <v>551</v>
      </c>
      <c r="D14" s="521"/>
      <c r="E14" s="546" t="s">
        <v>232</v>
      </c>
      <c r="F14" s="549">
        <v>307742</v>
      </c>
      <c r="G14" s="549">
        <v>2215</v>
      </c>
      <c r="H14" s="549">
        <v>447149</v>
      </c>
      <c r="I14" s="549">
        <v>3098</v>
      </c>
    </row>
    <row r="15" spans="1:79" ht="24.95" customHeight="1" x14ac:dyDescent="0.2">
      <c r="A15" s="492">
        <v>15</v>
      </c>
      <c r="B15" s="541" t="s">
        <v>297</v>
      </c>
      <c r="C15" s="522" t="s">
        <v>549</v>
      </c>
      <c r="D15" s="523"/>
      <c r="E15" s="546" t="s">
        <v>232</v>
      </c>
      <c r="F15" s="549">
        <v>397667</v>
      </c>
      <c r="G15" s="549">
        <v>2878</v>
      </c>
      <c r="H15" s="549">
        <v>6066200</v>
      </c>
      <c r="I15" s="549">
        <v>43276</v>
      </c>
    </row>
    <row r="16" spans="1:79" ht="24.95" customHeight="1" x14ac:dyDescent="0.2">
      <c r="A16" s="492">
        <v>16</v>
      </c>
      <c r="B16" s="540" t="s">
        <v>553</v>
      </c>
      <c r="C16" s="520" t="s">
        <v>550</v>
      </c>
      <c r="D16" s="543"/>
      <c r="E16" s="546" t="s">
        <v>233</v>
      </c>
      <c r="F16" s="549">
        <v>678974</v>
      </c>
      <c r="G16" s="549">
        <v>4616</v>
      </c>
      <c r="H16" s="549">
        <v>270048</v>
      </c>
      <c r="I16" s="549">
        <v>1867</v>
      </c>
    </row>
    <row r="17" spans="1:9" ht="24.95" customHeight="1" x14ac:dyDescent="0.2">
      <c r="A17" s="492">
        <v>17</v>
      </c>
      <c r="B17" s="534" t="s">
        <v>295</v>
      </c>
      <c r="C17" s="518" t="s">
        <v>552</v>
      </c>
      <c r="D17" s="544"/>
      <c r="E17" s="546" t="s">
        <v>233</v>
      </c>
      <c r="F17" s="549">
        <v>1392246</v>
      </c>
      <c r="G17" s="549">
        <v>10247</v>
      </c>
      <c r="H17" s="549">
        <v>2083610</v>
      </c>
      <c r="I17" s="549">
        <v>14325</v>
      </c>
    </row>
    <row r="18" spans="1:9" ht="24.95" customHeight="1" x14ac:dyDescent="0.2">
      <c r="A18" s="492">
        <v>18</v>
      </c>
      <c r="B18" s="541" t="s">
        <v>296</v>
      </c>
      <c r="C18" s="522" t="s">
        <v>554</v>
      </c>
      <c r="D18" s="545"/>
      <c r="E18" s="546" t="s">
        <v>233</v>
      </c>
      <c r="F18" s="549">
        <v>0</v>
      </c>
      <c r="G18" s="549">
        <v>0</v>
      </c>
      <c r="H18" s="549">
        <v>0</v>
      </c>
      <c r="I18" s="549">
        <v>0</v>
      </c>
    </row>
    <row r="19" spans="1:9" ht="24.95" customHeight="1" x14ac:dyDescent="0.2">
      <c r="A19" s="492">
        <v>19</v>
      </c>
      <c r="B19" s="530" t="s">
        <v>556</v>
      </c>
      <c r="C19" s="524" t="s">
        <v>563</v>
      </c>
      <c r="D19" s="525"/>
      <c r="E19" s="546" t="s">
        <v>232</v>
      </c>
      <c r="F19" s="549">
        <v>71205</v>
      </c>
      <c r="G19" s="549">
        <v>534</v>
      </c>
      <c r="H19" s="549">
        <v>7298</v>
      </c>
      <c r="I19" s="549">
        <v>30</v>
      </c>
    </row>
    <row r="20" spans="1:9" ht="24.95" customHeight="1" x14ac:dyDescent="0.2">
      <c r="A20" s="492">
        <v>20</v>
      </c>
      <c r="B20" s="539" t="s">
        <v>564</v>
      </c>
      <c r="C20" s="518" t="s">
        <v>298</v>
      </c>
      <c r="D20" s="519"/>
      <c r="E20" s="546" t="s">
        <v>233</v>
      </c>
      <c r="F20" s="549">
        <v>0</v>
      </c>
      <c r="G20" s="549">
        <v>0</v>
      </c>
      <c r="H20" s="549">
        <v>0</v>
      </c>
      <c r="I20" s="549">
        <v>0</v>
      </c>
    </row>
    <row r="21" spans="1:9" ht="24.95" customHeight="1" x14ac:dyDescent="0.2">
      <c r="A21" s="492">
        <v>21</v>
      </c>
      <c r="B21" s="530" t="s">
        <v>297</v>
      </c>
      <c r="C21" s="524" t="s">
        <v>574</v>
      </c>
      <c r="D21" s="525"/>
      <c r="E21" s="546" t="s">
        <v>233</v>
      </c>
      <c r="F21" s="549">
        <v>0</v>
      </c>
      <c r="G21" s="549">
        <v>0</v>
      </c>
      <c r="H21" s="549">
        <v>0</v>
      </c>
      <c r="I21" s="549">
        <v>0</v>
      </c>
    </row>
    <row r="22" spans="1:9" ht="24.95" customHeight="1" x14ac:dyDescent="0.2">
      <c r="A22" s="492">
        <v>22</v>
      </c>
      <c r="B22" s="541" t="s">
        <v>557</v>
      </c>
      <c r="C22" s="522" t="s">
        <v>299</v>
      </c>
      <c r="D22" s="523"/>
      <c r="E22" s="546" t="s">
        <v>300</v>
      </c>
      <c r="F22" s="549">
        <v>0</v>
      </c>
      <c r="G22" s="549">
        <v>0</v>
      </c>
      <c r="H22" s="549">
        <v>0</v>
      </c>
      <c r="I22" s="549">
        <v>0</v>
      </c>
    </row>
    <row r="23" spans="1:9" ht="24.95" customHeight="1" x14ac:dyDescent="0.2">
      <c r="A23" s="492">
        <v>23</v>
      </c>
      <c r="B23" s="542" t="s">
        <v>558</v>
      </c>
      <c r="C23" s="516" t="s">
        <v>301</v>
      </c>
      <c r="D23" s="526"/>
      <c r="E23" s="546" t="s">
        <v>233</v>
      </c>
      <c r="F23" s="549">
        <v>9377</v>
      </c>
      <c r="G23" s="549">
        <v>65</v>
      </c>
      <c r="H23" s="549">
        <v>0</v>
      </c>
      <c r="I23" s="549">
        <v>0</v>
      </c>
    </row>
    <row r="24" spans="1:9" ht="24.95" customHeight="1" x14ac:dyDescent="0.2">
      <c r="A24" s="492">
        <v>24</v>
      </c>
      <c r="B24" s="530" t="s">
        <v>559</v>
      </c>
      <c r="C24" s="524" t="s">
        <v>565</v>
      </c>
      <c r="D24" s="525"/>
      <c r="E24" s="546" t="s">
        <v>232</v>
      </c>
      <c r="F24" s="549">
        <v>248284</v>
      </c>
      <c r="G24" s="549">
        <v>1806</v>
      </c>
      <c r="H24" s="549">
        <v>301134</v>
      </c>
      <c r="I24" s="549">
        <v>2076</v>
      </c>
    </row>
    <row r="25" spans="1:9" ht="24.95" customHeight="1" x14ac:dyDescent="0.2">
      <c r="A25" s="492">
        <v>25</v>
      </c>
      <c r="B25" s="530" t="s">
        <v>560</v>
      </c>
      <c r="C25" s="524" t="s">
        <v>302</v>
      </c>
      <c r="D25" s="525"/>
      <c r="E25" s="546" t="s">
        <v>232</v>
      </c>
      <c r="F25" s="549">
        <v>0</v>
      </c>
      <c r="G25" s="549">
        <v>0</v>
      </c>
      <c r="H25" s="549">
        <v>0</v>
      </c>
      <c r="I25" s="549">
        <v>0</v>
      </c>
    </row>
    <row r="26" spans="1:9" ht="24.95" customHeight="1" x14ac:dyDescent="0.2">
      <c r="A26" s="492">
        <v>26</v>
      </c>
      <c r="B26" s="530" t="s">
        <v>561</v>
      </c>
      <c r="C26" s="524" t="s">
        <v>303</v>
      </c>
      <c r="D26" s="525"/>
      <c r="E26" s="546" t="s">
        <v>233</v>
      </c>
      <c r="F26" s="549">
        <v>0</v>
      </c>
      <c r="G26" s="549">
        <v>0</v>
      </c>
      <c r="H26" s="549">
        <v>0</v>
      </c>
      <c r="I26" s="549">
        <v>0</v>
      </c>
    </row>
    <row r="27" spans="1:9" ht="24.95" customHeight="1" x14ac:dyDescent="0.2">
      <c r="A27" s="492">
        <v>27</v>
      </c>
      <c r="B27" s="530" t="s">
        <v>562</v>
      </c>
      <c r="C27" s="524" t="s">
        <v>304</v>
      </c>
      <c r="D27" s="525"/>
      <c r="E27" s="546" t="s">
        <v>233</v>
      </c>
      <c r="F27" s="549">
        <v>0</v>
      </c>
      <c r="G27" s="549">
        <v>0</v>
      </c>
      <c r="H27" s="549">
        <v>0</v>
      </c>
      <c r="I27" s="549">
        <v>0</v>
      </c>
    </row>
    <row r="28" spans="1:9" ht="24.95" customHeight="1" x14ac:dyDescent="0.2">
      <c r="A28" s="492">
        <v>28</v>
      </c>
      <c r="B28" s="529" t="s">
        <v>305</v>
      </c>
      <c r="C28" s="524" t="s">
        <v>306</v>
      </c>
      <c r="D28" s="527"/>
      <c r="E28" s="546" t="s">
        <v>294</v>
      </c>
      <c r="F28" s="549">
        <v>0</v>
      </c>
      <c r="G28" s="549">
        <v>0</v>
      </c>
      <c r="H28" s="549">
        <v>0</v>
      </c>
      <c r="I28" s="549">
        <v>0</v>
      </c>
    </row>
    <row r="29" spans="1:9" ht="24.95" customHeight="1" x14ac:dyDescent="0.2">
      <c r="A29" s="492">
        <v>29</v>
      </c>
      <c r="B29" s="529" t="s">
        <v>307</v>
      </c>
      <c r="C29" s="524" t="s">
        <v>308</v>
      </c>
      <c r="D29" s="527"/>
      <c r="E29" s="546" t="s">
        <v>294</v>
      </c>
      <c r="F29" s="549">
        <v>0</v>
      </c>
      <c r="G29" s="549">
        <v>0</v>
      </c>
      <c r="H29" s="549">
        <v>0</v>
      </c>
      <c r="I29" s="549">
        <v>0</v>
      </c>
    </row>
    <row r="30" spans="1:9" ht="24.95" customHeight="1" x14ac:dyDescent="0.2">
      <c r="A30" s="492">
        <v>30</v>
      </c>
      <c r="B30" s="529" t="s">
        <v>309</v>
      </c>
      <c r="C30" s="528" t="s">
        <v>310</v>
      </c>
      <c r="D30" s="527"/>
      <c r="E30" s="546" t="s">
        <v>232</v>
      </c>
      <c r="F30" s="549">
        <v>0</v>
      </c>
      <c r="G30" s="549">
        <v>0</v>
      </c>
      <c r="H30" s="549">
        <v>0</v>
      </c>
      <c r="I30" s="549">
        <v>0</v>
      </c>
    </row>
    <row r="31" spans="1:9" ht="24.95" customHeight="1" x14ac:dyDescent="0.2">
      <c r="A31" s="492">
        <v>31</v>
      </c>
      <c r="B31" s="529" t="s">
        <v>311</v>
      </c>
      <c r="C31" s="528" t="s">
        <v>312</v>
      </c>
      <c r="D31" s="527"/>
      <c r="E31" s="546" t="s">
        <v>232</v>
      </c>
      <c r="F31" s="549">
        <v>4808587</v>
      </c>
      <c r="G31" s="549">
        <v>35416</v>
      </c>
      <c r="H31" s="549">
        <v>347778</v>
      </c>
      <c r="I31" s="549">
        <v>1456</v>
      </c>
    </row>
    <row r="32" spans="1:9" ht="24.95" customHeight="1" x14ac:dyDescent="0.2">
      <c r="A32" s="492">
        <v>32</v>
      </c>
      <c r="B32" s="529" t="s">
        <v>313</v>
      </c>
      <c r="C32" s="528" t="s">
        <v>314</v>
      </c>
      <c r="D32" s="527"/>
      <c r="E32" s="546" t="s">
        <v>233</v>
      </c>
      <c r="F32" s="549">
        <v>0</v>
      </c>
      <c r="G32" s="549">
        <v>0</v>
      </c>
      <c r="H32" s="549">
        <v>0</v>
      </c>
      <c r="I32" s="549">
        <v>0</v>
      </c>
    </row>
    <row r="33" spans="1:9" ht="24.95" customHeight="1" x14ac:dyDescent="0.2">
      <c r="A33" s="492">
        <v>33</v>
      </c>
      <c r="B33" s="530" t="s">
        <v>506</v>
      </c>
      <c r="C33" s="524" t="s">
        <v>507</v>
      </c>
      <c r="D33" s="527"/>
      <c r="E33" s="546" t="s">
        <v>233</v>
      </c>
      <c r="F33" s="549">
        <v>4081921</v>
      </c>
      <c r="G33" s="549">
        <v>27779</v>
      </c>
      <c r="H33" s="549">
        <v>4070609</v>
      </c>
      <c r="I33" s="549">
        <v>30024</v>
      </c>
    </row>
    <row r="34" spans="1:9" ht="24.95" customHeight="1" x14ac:dyDescent="0.2">
      <c r="A34" s="492">
        <v>34</v>
      </c>
      <c r="B34" s="530" t="s">
        <v>508</v>
      </c>
      <c r="C34" s="524" t="s">
        <v>509</v>
      </c>
      <c r="D34" s="527"/>
      <c r="E34" s="546" t="s">
        <v>233</v>
      </c>
      <c r="F34" s="549">
        <v>48284</v>
      </c>
      <c r="G34" s="549">
        <v>356</v>
      </c>
      <c r="H34" s="549">
        <v>17389</v>
      </c>
      <c r="I34" s="549">
        <v>102</v>
      </c>
    </row>
    <row r="35" spans="1:9" ht="24.95" customHeight="1" x14ac:dyDescent="0.2">
      <c r="A35" s="492">
        <v>35</v>
      </c>
      <c r="B35" s="530" t="s">
        <v>510</v>
      </c>
      <c r="C35" s="524" t="s">
        <v>511</v>
      </c>
      <c r="D35" s="527"/>
      <c r="E35" s="546" t="s">
        <v>233</v>
      </c>
      <c r="F35" s="549">
        <v>11636398</v>
      </c>
      <c r="G35" s="549">
        <v>83177</v>
      </c>
      <c r="H35" s="549">
        <v>14625325</v>
      </c>
      <c r="I35" s="549">
        <v>101811</v>
      </c>
    </row>
    <row r="36" spans="1:9" ht="24.95" customHeight="1" x14ac:dyDescent="0.2">
      <c r="A36" s="492">
        <v>36</v>
      </c>
      <c r="B36" s="530" t="s">
        <v>512</v>
      </c>
      <c r="C36" s="524" t="s">
        <v>513</v>
      </c>
      <c r="D36" s="527"/>
      <c r="E36" s="546" t="s">
        <v>233</v>
      </c>
      <c r="F36" s="549">
        <v>374363</v>
      </c>
      <c r="G36" s="549">
        <v>2731</v>
      </c>
      <c r="H36" s="549">
        <v>369366</v>
      </c>
      <c r="I36" s="549">
        <v>2476</v>
      </c>
    </row>
    <row r="37" spans="1:9" ht="24.95" customHeight="1" x14ac:dyDescent="0.2">
      <c r="A37" s="492">
        <v>37</v>
      </c>
      <c r="B37" s="530" t="s">
        <v>514</v>
      </c>
      <c r="C37" s="524" t="s">
        <v>515</v>
      </c>
      <c r="D37" s="527"/>
      <c r="E37" s="546" t="s">
        <v>232</v>
      </c>
      <c r="F37" s="549">
        <v>0</v>
      </c>
      <c r="G37" s="549">
        <v>0</v>
      </c>
      <c r="H37" s="549">
        <v>0</v>
      </c>
      <c r="I37" s="549">
        <v>0</v>
      </c>
    </row>
    <row r="38" spans="1:9" ht="24.95" customHeight="1" x14ac:dyDescent="0.2">
      <c r="A38" s="492">
        <v>38</v>
      </c>
      <c r="B38" s="531" t="s">
        <v>516</v>
      </c>
      <c r="C38" s="532" t="s">
        <v>517</v>
      </c>
      <c r="D38" s="533"/>
      <c r="E38" s="546"/>
      <c r="F38" s="549"/>
      <c r="G38" s="549"/>
      <c r="H38" s="549"/>
      <c r="I38" s="549"/>
    </row>
    <row r="39" spans="1:9" ht="24.95" customHeight="1" x14ac:dyDescent="0.2">
      <c r="A39" s="492">
        <v>39</v>
      </c>
      <c r="B39" s="534" t="s">
        <v>518</v>
      </c>
      <c r="C39" s="518" t="s">
        <v>519</v>
      </c>
      <c r="D39" s="535"/>
      <c r="E39" s="546" t="s">
        <v>294</v>
      </c>
      <c r="F39" s="549">
        <v>0</v>
      </c>
      <c r="G39" s="549">
        <v>0</v>
      </c>
      <c r="H39" s="549">
        <v>0</v>
      </c>
      <c r="I39" s="549">
        <v>0</v>
      </c>
    </row>
    <row r="40" spans="1:9" ht="24.95" customHeight="1" x14ac:dyDescent="0.2">
      <c r="A40" s="492">
        <v>40</v>
      </c>
      <c r="B40" s="534" t="s">
        <v>520</v>
      </c>
      <c r="C40" s="518" t="s">
        <v>521</v>
      </c>
      <c r="D40" s="535"/>
      <c r="E40" s="546" t="s">
        <v>294</v>
      </c>
      <c r="F40" s="549">
        <v>0</v>
      </c>
      <c r="G40" s="549">
        <v>0</v>
      </c>
      <c r="H40" s="549">
        <v>0</v>
      </c>
      <c r="I40" s="549">
        <v>0</v>
      </c>
    </row>
    <row r="41" spans="1:9" ht="24.95" customHeight="1" x14ac:dyDescent="0.2">
      <c r="A41" s="492">
        <v>41</v>
      </c>
      <c r="B41" s="534" t="s">
        <v>296</v>
      </c>
      <c r="C41" s="518" t="s">
        <v>522</v>
      </c>
      <c r="D41" s="535"/>
      <c r="E41" s="546" t="s">
        <v>294</v>
      </c>
      <c r="F41" s="549">
        <v>8023</v>
      </c>
      <c r="G41" s="549">
        <v>54</v>
      </c>
      <c r="H41" s="549">
        <v>0</v>
      </c>
      <c r="I41" s="549">
        <v>0</v>
      </c>
    </row>
    <row r="42" spans="1:9" ht="24.95" customHeight="1" x14ac:dyDescent="0.2">
      <c r="A42" s="492">
        <v>42</v>
      </c>
      <c r="B42" s="534" t="s">
        <v>523</v>
      </c>
      <c r="C42" s="518" t="s">
        <v>524</v>
      </c>
      <c r="D42" s="535"/>
      <c r="E42" s="546" t="s">
        <v>294</v>
      </c>
      <c r="F42" s="549">
        <v>96631</v>
      </c>
      <c r="G42" s="549">
        <v>653</v>
      </c>
      <c r="H42" s="549">
        <v>0</v>
      </c>
      <c r="I42" s="549">
        <v>0</v>
      </c>
    </row>
    <row r="43" spans="1:9" ht="24.95" customHeight="1" x14ac:dyDescent="0.2">
      <c r="A43" s="492">
        <v>43</v>
      </c>
      <c r="B43" s="534" t="s">
        <v>525</v>
      </c>
      <c r="C43" s="518" t="s">
        <v>526</v>
      </c>
      <c r="D43" s="535"/>
      <c r="E43" s="546" t="s">
        <v>300</v>
      </c>
      <c r="F43" s="549">
        <v>1286235</v>
      </c>
      <c r="G43" s="549">
        <v>8721</v>
      </c>
      <c r="H43" s="549">
        <v>0</v>
      </c>
      <c r="I43" s="549">
        <v>0</v>
      </c>
    </row>
    <row r="44" spans="1:9" ht="24.95" customHeight="1" x14ac:dyDescent="0.2">
      <c r="A44" s="492">
        <v>44</v>
      </c>
      <c r="B44" s="536" t="s">
        <v>527</v>
      </c>
      <c r="C44" s="524" t="s">
        <v>528</v>
      </c>
      <c r="D44" s="537"/>
      <c r="E44" s="546" t="s">
        <v>300</v>
      </c>
      <c r="F44" s="549">
        <v>3132970</v>
      </c>
      <c r="G44" s="549">
        <v>21210</v>
      </c>
      <c r="H44" s="549">
        <v>0</v>
      </c>
      <c r="I44" s="549">
        <v>0</v>
      </c>
    </row>
    <row r="45" spans="1:9" ht="24.95" customHeight="1" x14ac:dyDescent="0.2">
      <c r="A45" s="492">
        <v>45</v>
      </c>
      <c r="B45" s="531" t="s">
        <v>529</v>
      </c>
      <c r="C45" s="532" t="s">
        <v>530</v>
      </c>
      <c r="D45" s="533"/>
      <c r="E45" s="546"/>
      <c r="F45" s="549">
        <v>0</v>
      </c>
      <c r="G45" s="549">
        <v>0</v>
      </c>
      <c r="H45" s="549">
        <v>0</v>
      </c>
      <c r="I45" s="549">
        <v>0</v>
      </c>
    </row>
    <row r="46" spans="1:9" ht="24.95" customHeight="1" x14ac:dyDescent="0.2">
      <c r="A46" s="492">
        <v>46</v>
      </c>
      <c r="B46" s="534" t="s">
        <v>518</v>
      </c>
      <c r="C46" s="518" t="s">
        <v>534</v>
      </c>
      <c r="D46" s="535"/>
      <c r="E46" s="546" t="s">
        <v>294</v>
      </c>
      <c r="F46" s="549">
        <v>0</v>
      </c>
      <c r="G46" s="549">
        <v>0</v>
      </c>
      <c r="H46" s="549">
        <v>0</v>
      </c>
      <c r="I46" s="549">
        <v>0</v>
      </c>
    </row>
    <row r="47" spans="1:9" ht="24.95" customHeight="1" x14ac:dyDescent="0.2">
      <c r="A47" s="492">
        <v>47</v>
      </c>
      <c r="B47" s="536" t="s">
        <v>520</v>
      </c>
      <c r="C47" s="524" t="s">
        <v>535</v>
      </c>
      <c r="D47" s="537"/>
      <c r="E47" s="546" t="s">
        <v>232</v>
      </c>
      <c r="F47" s="549">
        <v>0</v>
      </c>
      <c r="G47" s="549">
        <v>0</v>
      </c>
      <c r="H47" s="549">
        <v>0</v>
      </c>
      <c r="I47" s="549">
        <v>0</v>
      </c>
    </row>
    <row r="48" spans="1:9" ht="24.95" customHeight="1" x14ac:dyDescent="0.2">
      <c r="A48" s="492">
        <v>48</v>
      </c>
      <c r="B48" s="530" t="s">
        <v>531</v>
      </c>
      <c r="C48" s="524" t="s">
        <v>536</v>
      </c>
      <c r="D48" s="527"/>
      <c r="E48" s="582" t="s">
        <v>586</v>
      </c>
      <c r="F48" s="549">
        <v>0</v>
      </c>
      <c r="G48" s="549">
        <v>0</v>
      </c>
      <c r="H48" s="549">
        <v>0</v>
      </c>
      <c r="I48" s="549">
        <v>0</v>
      </c>
    </row>
    <row r="49" spans="1:9" ht="24.95" customHeight="1" x14ac:dyDescent="0.2">
      <c r="A49" s="492">
        <v>49</v>
      </c>
      <c r="B49" s="530" t="s">
        <v>575</v>
      </c>
      <c r="C49" s="524" t="s">
        <v>537</v>
      </c>
      <c r="D49" s="533"/>
      <c r="E49" s="546" t="s">
        <v>233</v>
      </c>
      <c r="F49" s="549">
        <v>0</v>
      </c>
      <c r="G49" s="549">
        <v>0</v>
      </c>
      <c r="H49" s="549">
        <v>0</v>
      </c>
      <c r="I49" s="549">
        <v>0</v>
      </c>
    </row>
    <row r="50" spans="1:9" ht="24.95" customHeight="1" x14ac:dyDescent="0.2">
      <c r="A50" s="492">
        <v>50</v>
      </c>
      <c r="B50" s="531" t="s">
        <v>532</v>
      </c>
      <c r="C50" s="532" t="s">
        <v>538</v>
      </c>
      <c r="D50" s="537"/>
      <c r="E50" s="546" t="s">
        <v>294</v>
      </c>
      <c r="F50" s="549">
        <v>0</v>
      </c>
      <c r="G50" s="549">
        <v>0</v>
      </c>
      <c r="H50" s="549">
        <v>0</v>
      </c>
      <c r="I50" s="549">
        <v>0</v>
      </c>
    </row>
    <row r="51" spans="1:9" ht="24.95" customHeight="1" x14ac:dyDescent="0.2">
      <c r="A51" s="492">
        <v>51</v>
      </c>
      <c r="B51" s="534" t="s">
        <v>520</v>
      </c>
      <c r="C51" s="518" t="s">
        <v>539</v>
      </c>
      <c r="D51" s="533"/>
      <c r="E51" s="546" t="s">
        <v>294</v>
      </c>
      <c r="F51" s="549">
        <v>0</v>
      </c>
      <c r="G51" s="549">
        <v>0</v>
      </c>
      <c r="H51" s="549">
        <v>0</v>
      </c>
      <c r="I51" s="549">
        <v>0</v>
      </c>
    </row>
    <row r="52" spans="1:9" ht="24.95" customHeight="1" x14ac:dyDescent="0.2">
      <c r="A52" s="492">
        <v>52</v>
      </c>
      <c r="B52" s="534" t="s">
        <v>296</v>
      </c>
      <c r="C52" s="518" t="s">
        <v>540</v>
      </c>
      <c r="D52" s="535"/>
      <c r="E52" s="546" t="s">
        <v>232</v>
      </c>
      <c r="F52" s="549">
        <v>0</v>
      </c>
      <c r="G52" s="549">
        <v>0</v>
      </c>
      <c r="H52" s="549">
        <v>0</v>
      </c>
      <c r="I52" s="549">
        <v>0</v>
      </c>
    </row>
    <row r="53" spans="1:9" ht="24.95" customHeight="1" x14ac:dyDescent="0.2">
      <c r="A53" s="492">
        <v>53</v>
      </c>
      <c r="B53" s="534" t="s">
        <v>576</v>
      </c>
      <c r="C53" s="518" t="s">
        <v>541</v>
      </c>
      <c r="D53" s="535"/>
      <c r="E53" s="546" t="s">
        <v>232</v>
      </c>
      <c r="F53" s="549">
        <v>0</v>
      </c>
      <c r="G53" s="549">
        <v>0</v>
      </c>
      <c r="H53" s="549">
        <v>0</v>
      </c>
      <c r="I53" s="549">
        <v>0</v>
      </c>
    </row>
    <row r="54" spans="1:9" ht="24.95" customHeight="1" x14ac:dyDescent="0.2">
      <c r="A54" s="492">
        <v>54</v>
      </c>
      <c r="B54" s="534" t="s">
        <v>577</v>
      </c>
      <c r="C54" s="518" t="s">
        <v>581</v>
      </c>
      <c r="D54" s="537"/>
      <c r="E54" s="546" t="s">
        <v>232</v>
      </c>
      <c r="F54" s="549">
        <v>0</v>
      </c>
      <c r="G54" s="549">
        <v>0</v>
      </c>
      <c r="H54" s="549">
        <v>0</v>
      </c>
      <c r="I54" s="549">
        <v>0</v>
      </c>
    </row>
    <row r="55" spans="1:9" ht="24.95" customHeight="1" x14ac:dyDescent="0.2">
      <c r="A55" s="492">
        <v>55</v>
      </c>
      <c r="B55" s="534" t="s">
        <v>578</v>
      </c>
      <c r="C55" s="518" t="s">
        <v>582</v>
      </c>
      <c r="D55" s="527"/>
      <c r="E55" s="546" t="s">
        <v>232</v>
      </c>
      <c r="F55" s="549">
        <v>0</v>
      </c>
      <c r="G55" s="549">
        <v>0</v>
      </c>
      <c r="H55" s="549">
        <v>0</v>
      </c>
      <c r="I55" s="549">
        <v>0</v>
      </c>
    </row>
    <row r="56" spans="1:9" ht="24.95" customHeight="1" x14ac:dyDescent="0.2">
      <c r="A56" s="492">
        <v>56</v>
      </c>
      <c r="B56" s="534" t="s">
        <v>579</v>
      </c>
      <c r="C56" s="518" t="s">
        <v>581</v>
      </c>
      <c r="D56" s="527"/>
      <c r="E56" s="546" t="s">
        <v>233</v>
      </c>
      <c r="F56" s="549">
        <v>0</v>
      </c>
      <c r="G56" s="549">
        <v>0</v>
      </c>
      <c r="H56" s="549">
        <v>0</v>
      </c>
      <c r="I56" s="549">
        <v>0</v>
      </c>
    </row>
    <row r="57" spans="1:9" ht="24.95" customHeight="1" x14ac:dyDescent="0.2">
      <c r="A57" s="492">
        <v>57</v>
      </c>
      <c r="B57" s="534" t="s">
        <v>580</v>
      </c>
      <c r="C57" s="524" t="s">
        <v>582</v>
      </c>
      <c r="D57" s="527"/>
      <c r="E57" s="546" t="s">
        <v>233</v>
      </c>
      <c r="F57" s="549">
        <v>0</v>
      </c>
      <c r="G57" s="549">
        <v>0</v>
      </c>
      <c r="H57" s="549">
        <v>0</v>
      </c>
      <c r="I57" s="549">
        <v>0</v>
      </c>
    </row>
    <row r="58" spans="1:9" ht="24.95" customHeight="1" x14ac:dyDescent="0.2">
      <c r="A58" s="492">
        <v>58</v>
      </c>
      <c r="B58" s="580" t="s">
        <v>533</v>
      </c>
      <c r="C58" s="524" t="s">
        <v>585</v>
      </c>
      <c r="D58" s="527"/>
      <c r="E58" s="546" t="s">
        <v>233</v>
      </c>
      <c r="F58" s="549">
        <v>0</v>
      </c>
      <c r="G58" s="549">
        <v>0</v>
      </c>
      <c r="H58" s="549">
        <v>0</v>
      </c>
      <c r="I58" s="549">
        <v>0</v>
      </c>
    </row>
    <row r="59" spans="1:9" ht="24.95" customHeight="1" x14ac:dyDescent="0.2">
      <c r="A59" s="492">
        <v>59</v>
      </c>
      <c r="B59" s="580" t="s">
        <v>583</v>
      </c>
      <c r="C59" s="528" t="s">
        <v>315</v>
      </c>
      <c r="D59" s="527"/>
      <c r="E59" s="581" t="s">
        <v>233</v>
      </c>
      <c r="F59" s="549">
        <v>15779673</v>
      </c>
      <c r="G59" s="549">
        <v>114251</v>
      </c>
      <c r="H59" s="549">
        <v>20394758</v>
      </c>
      <c r="I59" s="549">
        <v>140511</v>
      </c>
    </row>
    <row r="60" spans="1:9" ht="24.95" customHeight="1" x14ac:dyDescent="0.2">
      <c r="A60" s="492">
        <v>60</v>
      </c>
      <c r="B60" s="550" t="s">
        <v>584</v>
      </c>
      <c r="C60" s="551" t="s">
        <v>64</v>
      </c>
      <c r="D60" s="552"/>
      <c r="E60" s="553"/>
      <c r="F60" s="554">
        <f>SUM(F9:F59)</f>
        <v>45476377</v>
      </c>
      <c r="G60" s="554">
        <f>SUM(G9:G59)</f>
        <v>324582</v>
      </c>
      <c r="H60" s="554">
        <f>SUM(H9:H59)</f>
        <v>49749165</v>
      </c>
      <c r="I60" s="554">
        <f>SUM(I9:I59)</f>
        <v>346271</v>
      </c>
    </row>
    <row r="61" spans="1:9" x14ac:dyDescent="0.2">
      <c r="A61" s="492">
        <v>61</v>
      </c>
    </row>
    <row r="62" spans="1:9" x14ac:dyDescent="0.2">
      <c r="A62" s="492">
        <v>62</v>
      </c>
      <c r="B62" s="401" t="s">
        <v>603</v>
      </c>
    </row>
    <row r="63" spans="1:9" x14ac:dyDescent="0.2">
      <c r="A63" s="492">
        <v>63</v>
      </c>
      <c r="B63" s="515"/>
    </row>
    <row r="64" spans="1:9" x14ac:dyDescent="0.2">
      <c r="A64" s="492">
        <v>64</v>
      </c>
      <c r="B64" s="401"/>
    </row>
    <row r="65" spans="1:6" x14ac:dyDescent="0.2">
      <c r="A65" s="492">
        <v>65</v>
      </c>
      <c r="B65" s="502" t="s">
        <v>316</v>
      </c>
      <c r="C65" s="506"/>
      <c r="D65" s="506"/>
      <c r="E65" s="506"/>
      <c r="F65" s="506"/>
    </row>
    <row r="66" spans="1:6" x14ac:dyDescent="0.2">
      <c r="A66" s="492">
        <v>66</v>
      </c>
      <c r="B66" s="503" t="s">
        <v>291</v>
      </c>
    </row>
  </sheetData>
  <mergeCells count="2">
    <mergeCell ref="F7:G7"/>
    <mergeCell ref="H7:I7"/>
  </mergeCells>
  <printOptions horizontalCentered="1"/>
  <pageMargins left="0.17" right="0.16" top="0.41" bottom="0.46" header="0.24" footer="0.24"/>
  <pageSetup paperSize="5" scale="60" orientation="portrait" r:id="rId1"/>
  <headerFooter alignWithMargins="0">
    <oddHeader>&amp;L&amp;"Arial,Bold"State of Wisconsin&amp;C&amp;"Arial,Bold"Appendix D2.A Administration in Waiver Cost</oddHeader>
    <oddFooter>&amp;L&amp;A&amp;CPage &amp;P of &amp;N&amp;R&amp;F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Q42"/>
  <sheetViews>
    <sheetView showGridLines="0" zoomScaleNormal="100" zoomScaleSheetLayoutView="100" workbookViewId="0"/>
  </sheetViews>
  <sheetFormatPr defaultRowHeight="11.25" x14ac:dyDescent="0.2"/>
  <cols>
    <col min="1" max="1" width="6.7109375" style="2" customWidth="1"/>
    <col min="2" max="2" width="43" style="3" bestFit="1" customWidth="1"/>
    <col min="3" max="3" width="11" style="3" customWidth="1"/>
    <col min="4" max="4" width="25.7109375" style="3" bestFit="1" customWidth="1"/>
    <col min="5" max="6" width="14.7109375" style="3" customWidth="1"/>
    <col min="7" max="7" width="20.28515625" style="3" bestFit="1" customWidth="1"/>
    <col min="8" max="8" width="14.7109375" style="3" customWidth="1"/>
    <col min="9" max="9" width="17.7109375" style="3" customWidth="1"/>
    <col min="10" max="10" width="14.7109375" style="3" customWidth="1"/>
    <col min="11" max="15" width="21.7109375" style="3" customWidth="1"/>
    <col min="16" max="16" width="1.5703125" style="3" customWidth="1"/>
    <col min="17" max="17" width="10.140625" style="3" customWidth="1"/>
    <col min="18" max="16384" width="9.140625" style="3"/>
  </cols>
  <sheetData>
    <row r="1" spans="1:17" s="2" customFormat="1" ht="33.7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34</v>
      </c>
    </row>
    <row r="2" spans="1:17" s="27" customFormat="1" ht="12.75" x14ac:dyDescent="0.2">
      <c r="A2" s="2">
        <v>2</v>
      </c>
      <c r="B2" s="5" t="s">
        <v>202</v>
      </c>
      <c r="C2" s="26"/>
      <c r="D2" s="26"/>
      <c r="E2" s="26"/>
      <c r="F2" s="26"/>
      <c r="G2" s="26"/>
      <c r="H2" s="26"/>
      <c r="I2" s="26"/>
      <c r="J2" s="26"/>
      <c r="K2" s="5" t="s">
        <v>202</v>
      </c>
      <c r="L2" s="26"/>
      <c r="M2" s="26"/>
      <c r="N2" s="26"/>
    </row>
    <row r="3" spans="1:17" customFormat="1" ht="12.75" x14ac:dyDescent="0.2">
      <c r="E3" s="19" t="s">
        <v>325</v>
      </c>
      <c r="F3" t="str">
        <f>'D1. Member Months'!G4</f>
        <v>Wisconsin</v>
      </c>
      <c r="L3" t="s">
        <v>339</v>
      </c>
      <c r="M3" t="str">
        <f>'D1. Member Months'!G4</f>
        <v>Wisconsin</v>
      </c>
    </row>
    <row r="4" spans="1:17" ht="18" customHeight="1" x14ac:dyDescent="0.2">
      <c r="A4" s="2">
        <v>4</v>
      </c>
      <c r="B4" s="28"/>
      <c r="C4" s="29"/>
      <c r="D4" s="29"/>
      <c r="E4" s="29"/>
      <c r="G4" s="29"/>
    </row>
    <row r="5" spans="1:17" ht="18" customHeight="1" x14ac:dyDescent="0.2">
      <c r="A5" s="2">
        <v>5</v>
      </c>
      <c r="B5" s="30"/>
      <c r="C5" s="29"/>
      <c r="D5" s="29"/>
      <c r="E5" s="29"/>
      <c r="F5" s="31"/>
      <c r="G5" s="29"/>
      <c r="H5" s="31"/>
      <c r="K5" s="31"/>
    </row>
    <row r="6" spans="1:17" ht="18" customHeight="1" thickBot="1" x14ac:dyDescent="0.25">
      <c r="A6" s="2">
        <v>6</v>
      </c>
      <c r="B6" s="30"/>
      <c r="C6" s="29"/>
      <c r="D6" s="29"/>
      <c r="E6" s="29"/>
      <c r="F6" s="32"/>
      <c r="G6" s="29"/>
      <c r="I6" s="31"/>
      <c r="J6" s="31"/>
      <c r="K6" s="32"/>
      <c r="L6" s="31"/>
      <c r="M6" s="31"/>
    </row>
    <row r="7" spans="1:17" ht="15" customHeight="1" x14ac:dyDescent="0.2">
      <c r="A7" s="2">
        <v>7</v>
      </c>
      <c r="B7" s="256"/>
      <c r="C7" s="257"/>
      <c r="D7" s="258" t="s">
        <v>214</v>
      </c>
      <c r="E7" s="254"/>
      <c r="F7" s="254"/>
      <c r="G7" s="254"/>
      <c r="H7" s="259"/>
      <c r="I7" s="254"/>
      <c r="J7" s="260"/>
      <c r="K7" s="253" t="s">
        <v>212</v>
      </c>
      <c r="L7" s="254"/>
      <c r="M7" s="254"/>
      <c r="N7" s="254"/>
      <c r="O7" s="260"/>
      <c r="Q7" s="33"/>
    </row>
    <row r="8" spans="1:17" s="34" customFormat="1" x14ac:dyDescent="0.2">
      <c r="A8" s="2">
        <v>8</v>
      </c>
      <c r="B8" s="166"/>
      <c r="C8" s="78"/>
      <c r="D8" s="73" t="s">
        <v>35</v>
      </c>
      <c r="E8" s="74"/>
      <c r="F8" s="74"/>
      <c r="G8" s="74" t="s">
        <v>161</v>
      </c>
      <c r="H8" s="74" t="s">
        <v>36</v>
      </c>
      <c r="I8" s="74" t="s">
        <v>37</v>
      </c>
      <c r="J8" s="158"/>
      <c r="K8" s="73"/>
      <c r="L8" s="74"/>
      <c r="M8" s="74"/>
      <c r="N8" s="74"/>
      <c r="O8" s="158"/>
      <c r="Q8" s="35"/>
    </row>
    <row r="9" spans="1:17" s="34" customFormat="1" x14ac:dyDescent="0.2">
      <c r="A9" s="2">
        <v>9</v>
      </c>
      <c r="B9" s="166" t="s">
        <v>38</v>
      </c>
      <c r="C9" s="78" t="s">
        <v>210</v>
      </c>
      <c r="D9" s="248" t="s">
        <v>158</v>
      </c>
      <c r="E9" s="77"/>
      <c r="F9" s="77"/>
      <c r="G9" s="77" t="s">
        <v>52</v>
      </c>
      <c r="H9" s="77" t="s">
        <v>39</v>
      </c>
      <c r="I9" s="77" t="s">
        <v>52</v>
      </c>
      <c r="J9" s="78"/>
      <c r="K9" s="76"/>
      <c r="L9" s="77"/>
      <c r="M9" s="77"/>
      <c r="N9" s="77"/>
      <c r="O9" s="78"/>
      <c r="Q9" s="35"/>
    </row>
    <row r="10" spans="1:17" s="34" customFormat="1" ht="23.25" customHeight="1" x14ac:dyDescent="0.2">
      <c r="A10" s="2">
        <v>10</v>
      </c>
      <c r="B10" s="166" t="s">
        <v>40</v>
      </c>
      <c r="C10" s="78" t="s">
        <v>41</v>
      </c>
      <c r="D10" s="249" t="s">
        <v>159</v>
      </c>
      <c r="E10" s="77" t="s">
        <v>43</v>
      </c>
      <c r="F10" s="77" t="s">
        <v>44</v>
      </c>
      <c r="G10" s="77" t="s">
        <v>176</v>
      </c>
      <c r="H10" s="77" t="s">
        <v>45</v>
      </c>
      <c r="I10" s="77"/>
      <c r="J10" s="78" t="s">
        <v>46</v>
      </c>
      <c r="K10" s="76" t="s">
        <v>26</v>
      </c>
      <c r="L10" s="77" t="s">
        <v>47</v>
      </c>
      <c r="M10" s="77" t="s">
        <v>27</v>
      </c>
      <c r="N10" s="77" t="s">
        <v>48</v>
      </c>
      <c r="O10" s="78" t="s">
        <v>49</v>
      </c>
      <c r="Q10" s="35"/>
    </row>
    <row r="11" spans="1:17" s="34" customFormat="1" ht="11.25" customHeight="1" x14ac:dyDescent="0.2">
      <c r="A11" s="2">
        <v>11</v>
      </c>
      <c r="B11" s="166"/>
      <c r="C11" s="78" t="s">
        <v>50</v>
      </c>
      <c r="D11" s="76" t="s">
        <v>42</v>
      </c>
      <c r="E11" s="77" t="s">
        <v>52</v>
      </c>
      <c r="F11" s="77" t="s">
        <v>53</v>
      </c>
      <c r="G11" s="77" t="s">
        <v>54</v>
      </c>
      <c r="H11" s="77" t="s">
        <v>55</v>
      </c>
      <c r="I11" s="77"/>
      <c r="J11" s="78" t="s">
        <v>57</v>
      </c>
      <c r="K11" s="76" t="s">
        <v>53</v>
      </c>
      <c r="L11" s="77" t="s">
        <v>52</v>
      </c>
      <c r="M11" s="77" t="s">
        <v>53</v>
      </c>
      <c r="N11" s="77" t="s">
        <v>52</v>
      </c>
      <c r="O11" s="78" t="s">
        <v>57</v>
      </c>
      <c r="Q11" s="35"/>
    </row>
    <row r="12" spans="1:17" s="34" customFormat="1" x14ac:dyDescent="0.2">
      <c r="A12" s="2">
        <v>12</v>
      </c>
      <c r="B12" s="261"/>
      <c r="C12" s="251"/>
      <c r="D12" s="76" t="s">
        <v>51</v>
      </c>
      <c r="E12" s="250"/>
      <c r="F12" s="250" t="s">
        <v>20</v>
      </c>
      <c r="G12" s="250"/>
      <c r="H12" s="250"/>
      <c r="I12" s="250"/>
      <c r="J12" s="251" t="s">
        <v>58</v>
      </c>
      <c r="K12" s="252" t="s">
        <v>59</v>
      </c>
      <c r="L12" s="250" t="s">
        <v>60</v>
      </c>
      <c r="M12" s="250" t="s">
        <v>61</v>
      </c>
      <c r="N12" s="250" t="s">
        <v>62</v>
      </c>
      <c r="O12" s="251" t="s">
        <v>63</v>
      </c>
      <c r="Q12" s="35"/>
    </row>
    <row r="13" spans="1:17" s="2" customFormat="1" ht="18" customHeight="1" x14ac:dyDescent="0.2">
      <c r="A13" s="2">
        <v>13</v>
      </c>
      <c r="B13" s="380" t="str">
        <f>'D1. Member Months'!B10</f>
        <v>Nursing Home Level of Care</v>
      </c>
      <c r="C13" s="36">
        <f>'D1. Member Months'!C10</f>
        <v>424367.9</v>
      </c>
      <c r="D13" s="382">
        <v>1278260269.2208314</v>
      </c>
      <c r="E13" s="383">
        <v>0</v>
      </c>
      <c r="F13" s="37">
        <f>SUM(D13:E13)</f>
        <v>1278260269.2208314</v>
      </c>
      <c r="G13" s="383">
        <v>0</v>
      </c>
      <c r="H13" s="383">
        <v>0</v>
      </c>
      <c r="I13" s="383">
        <v>45476377</v>
      </c>
      <c r="J13" s="39">
        <f>SUM(F13:I13)</f>
        <v>1323736646.2208314</v>
      </c>
      <c r="K13" s="191">
        <f t="shared" ref="K13:O14" si="0">F13/$C13</f>
        <v>3012.15117642223</v>
      </c>
      <c r="L13" s="40">
        <f t="shared" si="0"/>
        <v>0</v>
      </c>
      <c r="M13" s="40">
        <f t="shared" si="0"/>
        <v>0</v>
      </c>
      <c r="N13" s="40">
        <f t="shared" si="0"/>
        <v>107.16262233783469</v>
      </c>
      <c r="O13" s="41">
        <f t="shared" si="0"/>
        <v>3119.3137987600649</v>
      </c>
      <c r="Q13" s="42"/>
    </row>
    <row r="14" spans="1:17" s="2" customFormat="1" ht="18" customHeight="1" x14ac:dyDescent="0.2">
      <c r="A14" s="2">
        <v>14</v>
      </c>
      <c r="B14" s="380" t="str">
        <f>'D1. Member Months'!B11</f>
        <v>Non-Nursing Home Level of Care</v>
      </c>
      <c r="C14" s="36">
        <f>'D1. Member Months'!C11</f>
        <v>14850.89</v>
      </c>
      <c r="D14" s="382">
        <v>8386567.1299999999</v>
      </c>
      <c r="E14" s="383">
        <v>0</v>
      </c>
      <c r="F14" s="37">
        <f>SUM(D14:E14)</f>
        <v>8386567.1299999999</v>
      </c>
      <c r="G14" s="383">
        <v>0</v>
      </c>
      <c r="H14" s="383">
        <v>0</v>
      </c>
      <c r="I14" s="383">
        <v>324582</v>
      </c>
      <c r="J14" s="39">
        <f>SUM(F14:I14)</f>
        <v>8711149.129999999</v>
      </c>
      <c r="K14" s="191">
        <f t="shared" si="0"/>
        <v>564.71815022534008</v>
      </c>
      <c r="L14" s="40">
        <f t="shared" si="0"/>
        <v>0</v>
      </c>
      <c r="M14" s="40">
        <f t="shared" si="0"/>
        <v>0</v>
      </c>
      <c r="N14" s="40">
        <f t="shared" si="0"/>
        <v>21.856063845331828</v>
      </c>
      <c r="O14" s="41">
        <f t="shared" si="0"/>
        <v>586.57421407067181</v>
      </c>
      <c r="Q14" s="42"/>
    </row>
    <row r="15" spans="1:17" ht="18" customHeight="1" x14ac:dyDescent="0.2">
      <c r="A15" s="2">
        <v>15</v>
      </c>
      <c r="B15" s="380"/>
      <c r="C15" s="36"/>
      <c r="D15" s="382"/>
      <c r="E15" s="383"/>
      <c r="F15" s="37"/>
      <c r="G15" s="383"/>
      <c r="H15" s="383"/>
      <c r="I15" s="383"/>
      <c r="J15" s="39"/>
      <c r="K15" s="191"/>
      <c r="L15" s="40"/>
      <c r="M15" s="40"/>
      <c r="N15" s="40"/>
      <c r="O15" s="41"/>
      <c r="P15" s="43"/>
      <c r="Q15" s="44"/>
    </row>
    <row r="16" spans="1:17" ht="18" customHeight="1" thickBot="1" x14ac:dyDescent="0.25">
      <c r="A16" s="2">
        <v>16</v>
      </c>
      <c r="B16" s="380"/>
      <c r="C16" s="302"/>
      <c r="D16" s="384"/>
      <c r="E16" s="385"/>
      <c r="F16" s="37"/>
      <c r="G16" s="385"/>
      <c r="H16" s="385"/>
      <c r="I16" s="385"/>
      <c r="J16" s="47"/>
      <c r="K16" s="192"/>
      <c r="L16" s="48"/>
      <c r="M16" s="48"/>
      <c r="N16" s="48"/>
      <c r="O16" s="49"/>
      <c r="P16" s="43"/>
      <c r="Q16" s="44"/>
    </row>
    <row r="17" spans="1:17" ht="18" customHeight="1" thickTop="1" thickBot="1" x14ac:dyDescent="0.25">
      <c r="A17" s="2">
        <v>17</v>
      </c>
      <c r="B17" s="50" t="s">
        <v>64</v>
      </c>
      <c r="C17" s="278">
        <f>SUM(C13:C16)</f>
        <v>439218.79000000004</v>
      </c>
      <c r="D17" s="51">
        <f t="shared" ref="D17:J17" si="1">SUM(D13:D16)</f>
        <v>1286646836.3508315</v>
      </c>
      <c r="E17" s="52">
        <f t="shared" si="1"/>
        <v>0</v>
      </c>
      <c r="F17" s="52">
        <f t="shared" si="1"/>
        <v>1286646836.3508315</v>
      </c>
      <c r="G17" s="52">
        <f t="shared" si="1"/>
        <v>0</v>
      </c>
      <c r="H17" s="52">
        <f t="shared" si="1"/>
        <v>0</v>
      </c>
      <c r="I17" s="52">
        <f t="shared" si="1"/>
        <v>45800959</v>
      </c>
      <c r="J17" s="53">
        <f t="shared" si="1"/>
        <v>1332447795.3508315</v>
      </c>
      <c r="K17" s="193"/>
      <c r="L17" s="54"/>
      <c r="M17" s="54"/>
      <c r="N17" s="54"/>
      <c r="O17" s="194"/>
      <c r="P17" s="43"/>
      <c r="Q17" s="44"/>
    </row>
    <row r="18" spans="1:17" ht="16.5" customHeight="1" thickBot="1" x14ac:dyDescent="0.25">
      <c r="A18" s="2">
        <v>18</v>
      </c>
      <c r="B18" s="317" t="s">
        <v>285</v>
      </c>
      <c r="C18" s="55"/>
      <c r="D18" s="55"/>
      <c r="E18" s="55"/>
      <c r="F18" s="262"/>
      <c r="G18" s="262"/>
      <c r="H18" s="262"/>
      <c r="I18" s="262"/>
      <c r="J18" s="55"/>
      <c r="K18" s="56">
        <f>F17/$C17</f>
        <v>2929.3984356881256</v>
      </c>
      <c r="L18" s="56">
        <f>G17/$C17</f>
        <v>0</v>
      </c>
      <c r="M18" s="56">
        <f>H17/$C17</f>
        <v>0</v>
      </c>
      <c r="N18" s="56">
        <f>I17/$C17</f>
        <v>104.27823226779527</v>
      </c>
      <c r="O18" s="56">
        <f>J17/$C17</f>
        <v>3033.6766679559209</v>
      </c>
    </row>
    <row r="19" spans="1:17" ht="36" customHeight="1" thickBot="1" x14ac:dyDescent="0.25">
      <c r="A19" s="2">
        <v>19</v>
      </c>
      <c r="B19" s="30"/>
      <c r="C19" s="29"/>
      <c r="D19" s="29"/>
      <c r="E19" s="29"/>
      <c r="F19" s="32"/>
      <c r="G19" s="568"/>
      <c r="I19" s="31"/>
      <c r="J19" s="31"/>
      <c r="K19" s="32"/>
      <c r="L19" s="31"/>
      <c r="M19" s="31"/>
    </row>
    <row r="20" spans="1:17" ht="15" customHeight="1" x14ac:dyDescent="0.2">
      <c r="A20" s="2">
        <v>20</v>
      </c>
      <c r="B20" s="256"/>
      <c r="C20" s="257"/>
      <c r="D20" s="258" t="s">
        <v>213</v>
      </c>
      <c r="E20" s="254"/>
      <c r="F20" s="254"/>
      <c r="G20" s="254"/>
      <c r="H20" s="259"/>
      <c r="I20" s="254"/>
      <c r="J20" s="260"/>
      <c r="K20" s="253" t="s">
        <v>204</v>
      </c>
      <c r="L20" s="254"/>
      <c r="M20" s="254"/>
      <c r="N20" s="254"/>
      <c r="O20" s="260"/>
      <c r="Q20" s="33"/>
    </row>
    <row r="21" spans="1:17" s="34" customFormat="1" x14ac:dyDescent="0.2">
      <c r="A21" s="2">
        <v>21</v>
      </c>
      <c r="B21" s="166"/>
      <c r="C21" s="78"/>
      <c r="D21" s="73" t="s">
        <v>35</v>
      </c>
      <c r="E21" s="74"/>
      <c r="F21" s="74"/>
      <c r="G21" s="74" t="s">
        <v>161</v>
      </c>
      <c r="H21" s="74" t="s">
        <v>36</v>
      </c>
      <c r="I21" s="74" t="s">
        <v>37</v>
      </c>
      <c r="J21" s="158"/>
      <c r="K21" s="73"/>
      <c r="L21" s="74"/>
      <c r="M21" s="74"/>
      <c r="N21" s="74"/>
      <c r="O21" s="158"/>
      <c r="Q21" s="35"/>
    </row>
    <row r="22" spans="1:17" s="34" customFormat="1" x14ac:dyDescent="0.2">
      <c r="A22" s="2">
        <v>22</v>
      </c>
      <c r="B22" s="166" t="s">
        <v>38</v>
      </c>
      <c r="C22" s="78" t="s">
        <v>207</v>
      </c>
      <c r="D22" s="248" t="s">
        <v>158</v>
      </c>
      <c r="E22" s="77"/>
      <c r="F22" s="77"/>
      <c r="G22" s="77" t="s">
        <v>52</v>
      </c>
      <c r="H22" s="77" t="s">
        <v>39</v>
      </c>
      <c r="I22" s="77" t="s">
        <v>52</v>
      </c>
      <c r="J22" s="78"/>
      <c r="K22" s="76"/>
      <c r="L22" s="77"/>
      <c r="M22" s="77"/>
      <c r="N22" s="77"/>
      <c r="O22" s="78"/>
      <c r="Q22" s="35"/>
    </row>
    <row r="23" spans="1:17" s="34" customFormat="1" ht="23.25" customHeight="1" x14ac:dyDescent="0.2">
      <c r="A23" s="2">
        <v>23</v>
      </c>
      <c r="B23" s="166" t="s">
        <v>40</v>
      </c>
      <c r="C23" s="78" t="s">
        <v>41</v>
      </c>
      <c r="D23" s="249" t="s">
        <v>159</v>
      </c>
      <c r="E23" s="77" t="s">
        <v>43</v>
      </c>
      <c r="F23" s="77" t="s">
        <v>44</v>
      </c>
      <c r="G23" s="77" t="s">
        <v>176</v>
      </c>
      <c r="H23" s="77" t="s">
        <v>45</v>
      </c>
      <c r="I23" s="77" t="s">
        <v>160</v>
      </c>
      <c r="J23" s="78" t="s">
        <v>46</v>
      </c>
      <c r="K23" s="76" t="s">
        <v>26</v>
      </c>
      <c r="L23" s="77" t="s">
        <v>47</v>
      </c>
      <c r="M23" s="77" t="s">
        <v>27</v>
      </c>
      <c r="N23" s="77" t="s">
        <v>48</v>
      </c>
      <c r="O23" s="78" t="s">
        <v>49</v>
      </c>
      <c r="Q23" s="35"/>
    </row>
    <row r="24" spans="1:17" s="34" customFormat="1" ht="11.25" customHeight="1" x14ac:dyDescent="0.2">
      <c r="A24" s="2">
        <v>24</v>
      </c>
      <c r="B24" s="166"/>
      <c r="C24" s="78" t="s">
        <v>50</v>
      </c>
      <c r="D24" s="76" t="s">
        <v>42</v>
      </c>
      <c r="E24" s="77" t="s">
        <v>52</v>
      </c>
      <c r="F24" s="77" t="s">
        <v>53</v>
      </c>
      <c r="G24" s="77" t="s">
        <v>54</v>
      </c>
      <c r="H24" s="77" t="s">
        <v>55</v>
      </c>
      <c r="I24" s="77" t="s">
        <v>56</v>
      </c>
      <c r="J24" s="78" t="s">
        <v>57</v>
      </c>
      <c r="K24" s="76" t="s">
        <v>53</v>
      </c>
      <c r="L24" s="77" t="s">
        <v>52</v>
      </c>
      <c r="M24" s="77" t="s">
        <v>53</v>
      </c>
      <c r="N24" s="77" t="s">
        <v>52</v>
      </c>
      <c r="O24" s="78" t="s">
        <v>57</v>
      </c>
      <c r="Q24" s="35"/>
    </row>
    <row r="25" spans="1:17" s="34" customFormat="1" x14ac:dyDescent="0.2">
      <c r="A25" s="2">
        <v>25</v>
      </c>
      <c r="B25" s="261"/>
      <c r="C25" s="251"/>
      <c r="D25" s="76" t="s">
        <v>51</v>
      </c>
      <c r="E25" s="250"/>
      <c r="F25" s="250" t="s">
        <v>20</v>
      </c>
      <c r="G25" s="250"/>
      <c r="H25" s="250"/>
      <c r="I25" s="250"/>
      <c r="J25" s="251" t="s">
        <v>58</v>
      </c>
      <c r="K25" s="252" t="s">
        <v>59</v>
      </c>
      <c r="L25" s="250" t="s">
        <v>60</v>
      </c>
      <c r="M25" s="250" t="s">
        <v>61</v>
      </c>
      <c r="N25" s="250" t="s">
        <v>62</v>
      </c>
      <c r="O25" s="251" t="s">
        <v>63</v>
      </c>
      <c r="Q25" s="35"/>
    </row>
    <row r="26" spans="1:17" s="2" customFormat="1" ht="18" customHeight="1" x14ac:dyDescent="0.2">
      <c r="A26" s="2">
        <v>26</v>
      </c>
      <c r="B26" s="380" t="str">
        <f>'D1. Member Months'!B10</f>
        <v>Nursing Home Level of Care</v>
      </c>
      <c r="C26" s="36">
        <f>'D1. Member Months'!D10</f>
        <v>436922.1</v>
      </c>
      <c r="D26" s="382">
        <v>1273230476.77</v>
      </c>
      <c r="E26" s="383">
        <v>0</v>
      </c>
      <c r="F26" s="38">
        <f>D26+E26</f>
        <v>1273230476.77</v>
      </c>
      <c r="G26" s="383">
        <v>0</v>
      </c>
      <c r="H26" s="383">
        <v>0</v>
      </c>
      <c r="I26" s="383">
        <v>49749165</v>
      </c>
      <c r="J26" s="39">
        <f>SUM(F26:I26)</f>
        <v>1322979641.77</v>
      </c>
      <c r="K26" s="191">
        <f>F26/$C26</f>
        <v>2914.0903533375858</v>
      </c>
      <c r="L26" s="40">
        <f t="shared" ref="L26:O27" si="2">G26/$C26</f>
        <v>0</v>
      </c>
      <c r="M26" s="40">
        <f t="shared" si="2"/>
        <v>0</v>
      </c>
      <c r="N26" s="40">
        <f t="shared" si="2"/>
        <v>113.86278011572315</v>
      </c>
      <c r="O26" s="41">
        <f t="shared" si="2"/>
        <v>3027.953133453309</v>
      </c>
      <c r="Q26" s="42"/>
    </row>
    <row r="27" spans="1:17" s="2" customFormat="1" ht="18" customHeight="1" x14ac:dyDescent="0.2">
      <c r="A27" s="2">
        <v>27</v>
      </c>
      <c r="B27" s="380" t="str">
        <f>'D1. Member Months'!B11</f>
        <v>Non-Nursing Home Level of Care</v>
      </c>
      <c r="C27" s="36">
        <f>'D1. Member Months'!D11</f>
        <v>15335.830000000002</v>
      </c>
      <c r="D27" s="382">
        <v>8679683</v>
      </c>
      <c r="E27" s="383">
        <v>0</v>
      </c>
      <c r="F27" s="38">
        <f>D27+E27</f>
        <v>8679683</v>
      </c>
      <c r="G27" s="383">
        <v>0</v>
      </c>
      <c r="H27" s="383">
        <v>0</v>
      </c>
      <c r="I27" s="383">
        <v>346271</v>
      </c>
      <c r="J27" s="39">
        <f>SUM(F27:I27)</f>
        <v>9025954</v>
      </c>
      <c r="K27" s="191">
        <f>F27/$C27</f>
        <v>565.97412725623587</v>
      </c>
      <c r="L27" s="40">
        <f t="shared" si="2"/>
        <v>0</v>
      </c>
      <c r="M27" s="40">
        <f t="shared" si="2"/>
        <v>0</v>
      </c>
      <c r="N27" s="40">
        <f t="shared" si="2"/>
        <v>22.57921481915227</v>
      </c>
      <c r="O27" s="41">
        <f t="shared" si="2"/>
        <v>588.55334207538806</v>
      </c>
      <c r="Q27" s="42"/>
    </row>
    <row r="28" spans="1:17" ht="18" customHeight="1" x14ac:dyDescent="0.2">
      <c r="A28" s="2">
        <v>28</v>
      </c>
      <c r="B28" s="380"/>
      <c r="C28" s="36"/>
      <c r="D28" s="382"/>
      <c r="E28" s="383"/>
      <c r="F28" s="38"/>
      <c r="G28" s="383"/>
      <c r="H28" s="383"/>
      <c r="I28" s="383"/>
      <c r="J28" s="39"/>
      <c r="K28" s="191"/>
      <c r="L28" s="40"/>
      <c r="M28" s="40"/>
      <c r="N28" s="40"/>
      <c r="O28" s="41"/>
      <c r="P28" s="43"/>
      <c r="Q28" s="44"/>
    </row>
    <row r="29" spans="1:17" ht="18" customHeight="1" thickBot="1" x14ac:dyDescent="0.25">
      <c r="A29" s="2">
        <v>29</v>
      </c>
      <c r="B29" s="380"/>
      <c r="C29" s="302"/>
      <c r="D29" s="384"/>
      <c r="E29" s="385"/>
      <c r="F29" s="46"/>
      <c r="G29" s="385"/>
      <c r="H29" s="385"/>
      <c r="I29" s="385"/>
      <c r="J29" s="47"/>
      <c r="K29" s="192"/>
      <c r="L29" s="48"/>
      <c r="M29" s="48"/>
      <c r="N29" s="48"/>
      <c r="O29" s="49"/>
      <c r="P29" s="43"/>
      <c r="Q29" s="44"/>
    </row>
    <row r="30" spans="1:17" ht="18" customHeight="1" thickTop="1" thickBot="1" x14ac:dyDescent="0.25">
      <c r="A30" s="2">
        <v>30</v>
      </c>
      <c r="B30" s="50" t="s">
        <v>64</v>
      </c>
      <c r="C30" s="278">
        <f>SUM(C26:C29)</f>
        <v>452257.93</v>
      </c>
      <c r="D30" s="51">
        <f t="shared" ref="D30:J30" si="3">SUM(D26:D29)</f>
        <v>1281910159.77</v>
      </c>
      <c r="E30" s="52">
        <f t="shared" si="3"/>
        <v>0</v>
      </c>
      <c r="F30" s="52">
        <f t="shared" si="3"/>
        <v>1281910159.77</v>
      </c>
      <c r="G30" s="52">
        <f t="shared" si="3"/>
        <v>0</v>
      </c>
      <c r="H30" s="52">
        <f t="shared" si="3"/>
        <v>0</v>
      </c>
      <c r="I30" s="52">
        <f t="shared" si="3"/>
        <v>50095436</v>
      </c>
      <c r="J30" s="53">
        <f t="shared" si="3"/>
        <v>1332005595.77</v>
      </c>
      <c r="K30" s="193"/>
      <c r="L30" s="54"/>
      <c r="M30" s="54"/>
      <c r="N30" s="54"/>
      <c r="O30" s="194"/>
      <c r="P30" s="43"/>
      <c r="Q30" s="44"/>
    </row>
    <row r="31" spans="1:17" ht="16.5" customHeight="1" thickBot="1" x14ac:dyDescent="0.25">
      <c r="A31" s="2">
        <v>31</v>
      </c>
      <c r="B31" s="317" t="s">
        <v>568</v>
      </c>
      <c r="C31" s="55"/>
      <c r="D31" s="55"/>
      <c r="E31" s="55"/>
      <c r="F31" s="262"/>
      <c r="G31" s="262"/>
      <c r="H31" s="262"/>
      <c r="I31" s="262"/>
      <c r="J31" s="55"/>
      <c r="K31" s="56">
        <f>F30/$C30</f>
        <v>2834.4669595290457</v>
      </c>
      <c r="L31" s="56">
        <f>G30/$C30</f>
        <v>0</v>
      </c>
      <c r="M31" s="56">
        <f>H30/$C30</f>
        <v>0</v>
      </c>
      <c r="N31" s="56">
        <f>I30/$C30</f>
        <v>110.76740213267239</v>
      </c>
      <c r="O31" s="56">
        <f>J30/$C30</f>
        <v>2945.2343616617181</v>
      </c>
    </row>
    <row r="32" spans="1:17" x14ac:dyDescent="0.2">
      <c r="C32" s="57"/>
      <c r="D32" s="57"/>
      <c r="E32" s="29"/>
      <c r="F32" s="29"/>
    </row>
    <row r="33" spans="2:15" x14ac:dyDescent="0.2">
      <c r="B33" s="58"/>
      <c r="C33" s="58"/>
      <c r="D33" s="58"/>
      <c r="K33" s="44"/>
      <c r="L33" s="44"/>
      <c r="M33" s="44"/>
      <c r="N33" s="44"/>
      <c r="O33" s="44"/>
    </row>
    <row r="34" spans="2:15" x14ac:dyDescent="0.2">
      <c r="B34" s="378" t="s">
        <v>290</v>
      </c>
    </row>
    <row r="35" spans="2:15" x14ac:dyDescent="0.2">
      <c r="B35" s="386" t="s">
        <v>291</v>
      </c>
    </row>
    <row r="36" spans="2:15" ht="11.25" customHeight="1" x14ac:dyDescent="0.2">
      <c r="D36" s="620" t="s">
        <v>279</v>
      </c>
      <c r="E36" s="621"/>
      <c r="F36" s="621"/>
      <c r="G36" s="621"/>
      <c r="H36" s="621"/>
      <c r="I36" s="621"/>
      <c r="J36" s="621"/>
    </row>
    <row r="37" spans="2:15" x14ac:dyDescent="0.2">
      <c r="D37" s="621"/>
      <c r="E37" s="621"/>
      <c r="F37" s="621"/>
      <c r="G37" s="621"/>
      <c r="H37" s="621"/>
      <c r="I37" s="621"/>
      <c r="J37" s="621"/>
    </row>
    <row r="38" spans="2:15" x14ac:dyDescent="0.2">
      <c r="D38" s="621"/>
      <c r="E38" s="621"/>
      <c r="F38" s="621"/>
      <c r="G38" s="621"/>
      <c r="H38" s="621"/>
      <c r="I38" s="621"/>
      <c r="J38" s="621"/>
    </row>
    <row r="39" spans="2:15" ht="12.75" x14ac:dyDescent="0.2">
      <c r="D39" s="63"/>
      <c r="E39" s="63"/>
      <c r="F39" s="63"/>
      <c r="G39" s="63"/>
      <c r="H39" s="63"/>
      <c r="I39" s="63"/>
      <c r="J39" s="63"/>
    </row>
    <row r="40" spans="2:15" x14ac:dyDescent="0.2">
      <c r="D40" s="620" t="s">
        <v>280</v>
      </c>
      <c r="E40" s="621"/>
      <c r="F40" s="621"/>
      <c r="G40" s="621"/>
      <c r="H40" s="621"/>
      <c r="I40" s="621"/>
      <c r="J40" s="621"/>
    </row>
    <row r="41" spans="2:15" x14ac:dyDescent="0.2">
      <c r="D41" s="621"/>
      <c r="E41" s="621"/>
      <c r="F41" s="621"/>
      <c r="G41" s="621"/>
      <c r="H41" s="621"/>
      <c r="I41" s="621"/>
      <c r="J41" s="621"/>
    </row>
    <row r="42" spans="2:15" ht="11.25" customHeight="1" x14ac:dyDescent="0.2">
      <c r="B42" s="32"/>
      <c r="C42" s="29"/>
      <c r="D42" s="621"/>
      <c r="E42" s="621"/>
      <c r="F42" s="621"/>
      <c r="G42" s="621"/>
      <c r="H42" s="621"/>
      <c r="I42" s="621"/>
      <c r="J42" s="621"/>
    </row>
  </sheetData>
  <mergeCells count="2">
    <mergeCell ref="D36:J38"/>
    <mergeCell ref="D40:J42"/>
  </mergeCells>
  <phoneticPr fontId="0" type="noConversion"/>
  <printOptions horizontalCentered="1"/>
  <pageMargins left="0.17" right="0.17" top="0.74" bottom="0.72" header="0.37" footer="0.23"/>
  <pageSetup paperSize="5" scale="60" orientation="landscape" r:id="rId1"/>
  <headerFooter alignWithMargins="0">
    <oddHeader xml:space="preserve">&amp;L&amp;"Arial,Bold"&amp;12State of Wisconsin&amp;C&amp;"Arial,Bold"&amp;12Appendix &amp;A&amp;R&amp;"Arial,Bold"&amp;12 </oddHeader>
    <oddFooter>&amp;L&amp;8'&amp;A'&amp;C&amp;8Page &amp;P of &amp;N&amp;R&amp;8&amp;F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00"/>
  <sheetViews>
    <sheetView showGridLines="0" zoomScaleNormal="100" workbookViewId="0"/>
  </sheetViews>
  <sheetFormatPr defaultRowHeight="12.75" x14ac:dyDescent="0.2"/>
  <cols>
    <col min="1" max="1" width="9.140625" style="4"/>
    <col min="2" max="2" width="43.7109375" style="7" customWidth="1"/>
    <col min="3" max="3" width="17.5703125" style="7" bestFit="1" customWidth="1"/>
    <col min="4" max="4" width="74.28515625" style="7" customWidth="1"/>
    <col min="5" max="16384" width="9.140625" style="7"/>
  </cols>
  <sheetData>
    <row r="1" spans="1:12" s="4" customFormat="1" ht="33.75" x14ac:dyDescent="0.2">
      <c r="A1" s="16" t="s">
        <v>0</v>
      </c>
      <c r="B1" s="4" t="s">
        <v>1</v>
      </c>
      <c r="C1" s="4" t="s">
        <v>2</v>
      </c>
      <c r="D1" s="4" t="s">
        <v>3</v>
      </c>
    </row>
    <row r="2" spans="1:12" ht="15" customHeight="1" x14ac:dyDescent="0.2">
      <c r="A2" s="4">
        <v>2</v>
      </c>
      <c r="B2" s="5" t="s">
        <v>171</v>
      </c>
      <c r="C2" s="6"/>
      <c r="D2" s="6"/>
    </row>
    <row r="3" spans="1:12" customFormat="1" ht="15" customHeight="1" x14ac:dyDescent="0.2">
      <c r="A3" s="17">
        <v>3</v>
      </c>
      <c r="C3" t="s">
        <v>339</v>
      </c>
      <c r="D3" t="str">
        <f>'D1. Member Months'!G4</f>
        <v>Wisconsin</v>
      </c>
    </row>
    <row r="4" spans="1:12" ht="15" customHeight="1" x14ac:dyDescent="0.2">
      <c r="A4" s="4">
        <v>4</v>
      </c>
      <c r="B4" s="59" t="s">
        <v>372</v>
      </c>
      <c r="C4" s="6"/>
      <c r="D4" s="6"/>
    </row>
    <row r="5" spans="1:12" ht="15" customHeight="1" x14ac:dyDescent="0.2">
      <c r="A5" s="4">
        <v>5</v>
      </c>
      <c r="B5" s="5" t="s">
        <v>201</v>
      </c>
      <c r="C5" s="6"/>
      <c r="D5" s="6"/>
    </row>
    <row r="6" spans="1:12" ht="15" customHeight="1" x14ac:dyDescent="0.2">
      <c r="A6" s="4">
        <v>6</v>
      </c>
      <c r="B6" s="5" t="s">
        <v>65</v>
      </c>
      <c r="C6" s="6"/>
      <c r="D6" s="6"/>
    </row>
    <row r="7" spans="1:12" ht="18" customHeight="1" x14ac:dyDescent="0.2">
      <c r="A7" s="4">
        <v>7</v>
      </c>
      <c r="D7" s="60"/>
    </row>
    <row r="8" spans="1:12" ht="18" customHeight="1" x14ac:dyDescent="0.2">
      <c r="A8" s="4">
        <v>8</v>
      </c>
      <c r="B8" s="267" t="s">
        <v>66</v>
      </c>
      <c r="C8" s="267" t="s">
        <v>67</v>
      </c>
      <c r="D8" s="267" t="s">
        <v>68</v>
      </c>
    </row>
    <row r="9" spans="1:12" ht="18" customHeight="1" x14ac:dyDescent="0.2">
      <c r="A9" s="4">
        <v>9</v>
      </c>
      <c r="B9" s="61" t="s">
        <v>69</v>
      </c>
      <c r="C9" s="387" t="s">
        <v>569</v>
      </c>
      <c r="D9" s="583" t="s">
        <v>587</v>
      </c>
      <c r="E9" s="476"/>
      <c r="F9" s="476"/>
      <c r="G9" s="476"/>
      <c r="H9" s="476"/>
      <c r="I9" s="476"/>
      <c r="J9" s="476"/>
      <c r="K9" s="476"/>
      <c r="L9" s="476"/>
    </row>
    <row r="10" spans="1:12" ht="18" customHeight="1" x14ac:dyDescent="0.2">
      <c r="A10" s="4">
        <v>10</v>
      </c>
      <c r="B10" s="61" t="s">
        <v>70</v>
      </c>
      <c r="C10" s="387" t="s">
        <v>569</v>
      </c>
      <c r="D10" s="561" t="s">
        <v>589</v>
      </c>
    </row>
    <row r="11" spans="1:12" ht="18" customHeight="1" x14ac:dyDescent="0.2">
      <c r="A11" s="4">
        <v>11</v>
      </c>
      <c r="B11" s="62" t="s">
        <v>71</v>
      </c>
      <c r="C11" s="387" t="s">
        <v>569</v>
      </c>
      <c r="D11" s="561" t="s">
        <v>588</v>
      </c>
    </row>
    <row r="12" spans="1:12" ht="18" customHeight="1" x14ac:dyDescent="0.2">
      <c r="A12" s="4">
        <v>12</v>
      </c>
      <c r="B12" s="61" t="s">
        <v>72</v>
      </c>
      <c r="C12" s="387"/>
      <c r="D12" s="387"/>
    </row>
    <row r="13" spans="1:12" ht="18" customHeight="1" x14ac:dyDescent="0.2">
      <c r="A13" s="4">
        <v>13</v>
      </c>
      <c r="B13" s="62" t="s">
        <v>73</v>
      </c>
      <c r="C13" s="387"/>
      <c r="D13" s="387"/>
    </row>
    <row r="14" spans="1:12" ht="18" customHeight="1" x14ac:dyDescent="0.2">
      <c r="A14" s="4">
        <v>14</v>
      </c>
      <c r="B14" s="62" t="s">
        <v>74</v>
      </c>
      <c r="C14" s="387"/>
      <c r="D14" s="387"/>
    </row>
    <row r="15" spans="1:12" ht="18" customHeight="1" x14ac:dyDescent="0.2"/>
    <row r="16" spans="1:12" ht="18" customHeight="1" x14ac:dyDescent="0.2">
      <c r="B16" s="386" t="s">
        <v>291</v>
      </c>
      <c r="C16" s="19"/>
      <c r="D16" s="19"/>
    </row>
    <row r="17" spans="2:4" ht="18" customHeight="1" x14ac:dyDescent="0.2">
      <c r="B17" s="19"/>
      <c r="C17" s="19"/>
      <c r="D17" s="19"/>
    </row>
    <row r="18" spans="2:4" ht="18" customHeight="1" x14ac:dyDescent="0.2">
      <c r="B18" s="19"/>
      <c r="C18" s="19"/>
      <c r="D18" s="19"/>
    </row>
    <row r="19" spans="2:4" ht="18" customHeight="1" x14ac:dyDescent="0.2">
      <c r="B19" s="19"/>
      <c r="C19" s="19"/>
      <c r="D19" s="19"/>
    </row>
    <row r="20" spans="2:4" ht="15" customHeight="1" x14ac:dyDescent="0.2"/>
    <row r="21" spans="2:4" ht="15" customHeight="1" x14ac:dyDescent="0.2"/>
    <row r="22" spans="2:4" ht="15" customHeight="1" x14ac:dyDescent="0.2"/>
    <row r="23" spans="2:4" ht="15" customHeight="1" x14ac:dyDescent="0.2"/>
    <row r="24" spans="2:4" ht="15" customHeight="1" x14ac:dyDescent="0.2"/>
    <row r="25" spans="2:4" ht="15" customHeight="1" x14ac:dyDescent="0.2"/>
    <row r="26" spans="2:4" ht="15" customHeight="1" x14ac:dyDescent="0.2"/>
    <row r="27" spans="2:4" ht="15" customHeight="1" x14ac:dyDescent="0.2"/>
    <row r="28" spans="2:4" ht="15" customHeight="1" x14ac:dyDescent="0.2"/>
    <row r="29" spans="2:4" ht="15" customHeight="1" x14ac:dyDescent="0.2"/>
    <row r="30" spans="2:4" ht="15" customHeight="1" x14ac:dyDescent="0.2"/>
    <row r="31" spans="2:4" ht="15" customHeight="1" x14ac:dyDescent="0.2"/>
    <row r="32" spans="2: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</sheetData>
  <phoneticPr fontId="0" type="noConversion"/>
  <printOptions horizontalCentered="1"/>
  <pageMargins left="0.25" right="0.25" top="0.89" bottom="0.75" header="0.33" footer="0.25"/>
  <pageSetup paperSize="5" orientation="landscape" horizontalDpi="300" r:id="rId1"/>
  <headerFooter alignWithMargins="0">
    <oddHeader xml:space="preserve">&amp;L&amp;"Arial,Bold"&amp;12State of Wisconsin&amp;C&amp;"Arial,Bold"&amp;12Appendix &amp;A&amp;R&amp;"Arial,Bold"&amp;12 </oddHeader>
    <oddFooter>&amp;L&amp;8'&amp;A'&amp;C&amp;8Page &amp;P of &amp;N&amp;R&amp;8&amp;F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68"/>
  <sheetViews>
    <sheetView showGridLines="0" zoomScaleNormal="100" zoomScaleSheetLayoutView="80" workbookViewId="0"/>
  </sheetViews>
  <sheetFormatPr defaultRowHeight="11.25" x14ac:dyDescent="0.2"/>
  <cols>
    <col min="1" max="1" width="6.5703125" style="4" customWidth="1"/>
    <col min="2" max="2" width="43.42578125" style="66" bestFit="1" customWidth="1"/>
    <col min="3" max="3" width="14.140625" style="8" customWidth="1"/>
    <col min="4" max="4" width="15.5703125" style="8" bestFit="1" customWidth="1"/>
    <col min="5" max="5" width="15.28515625" style="8" bestFit="1" customWidth="1"/>
    <col min="6" max="6" width="16.140625" style="8" bestFit="1" customWidth="1"/>
    <col min="7" max="7" width="17.7109375" style="8" customWidth="1"/>
    <col min="8" max="8" width="17.5703125" style="8" bestFit="1" customWidth="1"/>
    <col min="9" max="9" width="15.28515625" style="8" bestFit="1" customWidth="1"/>
    <col min="10" max="10" width="17.28515625" style="8" customWidth="1"/>
    <col min="11" max="11" width="12.7109375" style="8" bestFit="1" customWidth="1"/>
    <col min="12" max="12" width="15.7109375" style="8" customWidth="1"/>
    <col min="13" max="13" width="12.7109375" style="8" bestFit="1" customWidth="1"/>
    <col min="14" max="14" width="14.5703125" style="8" bestFit="1" customWidth="1"/>
    <col min="15" max="15" width="15.7109375" style="8" customWidth="1"/>
    <col min="16" max="16" width="14.7109375" style="8" customWidth="1"/>
    <col min="17" max="17" width="15.7109375" style="8" customWidth="1"/>
    <col min="18" max="18" width="12.7109375" style="8" bestFit="1" customWidth="1"/>
    <col min="19" max="19" width="15.7109375" style="8" customWidth="1"/>
    <col min="20" max="20" width="14.7109375" style="8" customWidth="1"/>
    <col min="21" max="21" width="15.7109375" style="8" customWidth="1"/>
    <col min="22" max="22" width="12.7109375" style="8" bestFit="1" customWidth="1"/>
    <col min="23" max="23" width="14.85546875" style="8" bestFit="1" customWidth="1"/>
    <col min="24" max="24" width="16.85546875" style="8" bestFit="1" customWidth="1"/>
    <col min="25" max="25" width="15.7109375" style="8" customWidth="1"/>
    <col min="26" max="26" width="12.7109375" style="8" bestFit="1" customWidth="1"/>
    <col min="27" max="27" width="16.85546875" style="8" bestFit="1" customWidth="1"/>
    <col min="28" max="28" width="12.42578125" style="8" bestFit="1" customWidth="1"/>
    <col min="29" max="16384" width="9.140625" style="8"/>
  </cols>
  <sheetData>
    <row r="1" spans="1:28" s="4" customFormat="1" ht="33.75" x14ac:dyDescent="0.2">
      <c r="A1" s="16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34</v>
      </c>
      <c r="P1" s="4" t="s">
        <v>75</v>
      </c>
      <c r="Q1" s="4" t="s">
        <v>76</v>
      </c>
      <c r="R1" s="4" t="s">
        <v>77</v>
      </c>
      <c r="S1" s="4" t="s">
        <v>78</v>
      </c>
      <c r="T1" s="4" t="s">
        <v>79</v>
      </c>
      <c r="U1" s="4" t="s">
        <v>80</v>
      </c>
      <c r="V1" s="4" t="s">
        <v>81</v>
      </c>
      <c r="W1" s="4" t="s">
        <v>82</v>
      </c>
      <c r="X1" s="4" t="s">
        <v>33</v>
      </c>
      <c r="Y1" s="4" t="s">
        <v>83</v>
      </c>
      <c r="Z1" s="4" t="s">
        <v>84</v>
      </c>
      <c r="AA1" s="4" t="s">
        <v>85</v>
      </c>
      <c r="AB1" s="4" t="s">
        <v>86</v>
      </c>
    </row>
    <row r="2" spans="1:28" s="7" customFormat="1" ht="12.75" x14ac:dyDescent="0.2">
      <c r="A2" s="4">
        <v>2</v>
      </c>
      <c r="B2" s="5" t="s">
        <v>203</v>
      </c>
      <c r="C2" s="6"/>
      <c r="D2" s="6"/>
      <c r="E2" s="6"/>
      <c r="F2" s="6"/>
      <c r="G2" s="6"/>
      <c r="H2" s="6"/>
      <c r="I2" s="6"/>
      <c r="J2" s="5"/>
      <c r="K2" s="6"/>
      <c r="L2" s="6"/>
      <c r="M2" s="6"/>
      <c r="N2" s="6"/>
      <c r="O2" s="6"/>
      <c r="P2" s="5" t="s">
        <v>87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customFormat="1" ht="12.75" x14ac:dyDescent="0.2">
      <c r="G3" t="s">
        <v>339</v>
      </c>
      <c r="H3" t="str">
        <f>'D1. Member Months'!G4</f>
        <v>Wisconsin</v>
      </c>
      <c r="V3" t="s">
        <v>339</v>
      </c>
      <c r="W3" t="str">
        <f>'D1. Member Months'!G4</f>
        <v>Wisconsin</v>
      </c>
    </row>
    <row r="4" spans="1:28" s="7" customFormat="1" ht="12.75" x14ac:dyDescent="0.2">
      <c r="A4" s="4">
        <v>4</v>
      </c>
      <c r="B4" s="59" t="s">
        <v>88</v>
      </c>
      <c r="C4" s="6"/>
      <c r="D4" s="6"/>
      <c r="E4" s="6"/>
      <c r="F4" s="6"/>
      <c r="G4" s="6"/>
      <c r="H4" s="6"/>
      <c r="I4" s="6"/>
      <c r="J4" s="5"/>
      <c r="K4" s="6"/>
      <c r="L4" s="6"/>
      <c r="M4" s="6"/>
      <c r="N4" s="6"/>
      <c r="O4" s="6"/>
      <c r="P4" s="5" t="s">
        <v>88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s="7" customFormat="1" ht="12.75" x14ac:dyDescent="0.2">
      <c r="A5" s="4">
        <v>5</v>
      </c>
      <c r="B5" s="378" t="s">
        <v>290</v>
      </c>
      <c r="C5" s="6"/>
      <c r="D5" s="6"/>
      <c r="E5" s="6"/>
      <c r="F5" s="6"/>
      <c r="G5" s="6"/>
      <c r="H5" s="6"/>
      <c r="I5" s="6"/>
      <c r="J5" s="5"/>
      <c r="K5" s="6"/>
      <c r="L5" s="6"/>
      <c r="M5" s="6"/>
      <c r="N5" s="6"/>
      <c r="O5" s="6"/>
      <c r="P5" s="5" t="s">
        <v>89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s="7" customFormat="1" ht="12.75" x14ac:dyDescent="0.2">
      <c r="A6" s="4">
        <v>6</v>
      </c>
      <c r="B6" s="386" t="s">
        <v>291</v>
      </c>
      <c r="C6" s="6"/>
      <c r="D6" s="6"/>
      <c r="E6" s="6"/>
      <c r="F6" s="6"/>
      <c r="G6" s="6"/>
      <c r="H6" s="6"/>
      <c r="I6" s="6"/>
      <c r="J6" s="64"/>
      <c r="K6" s="6"/>
      <c r="L6" s="6"/>
      <c r="M6" s="6"/>
      <c r="N6" s="6"/>
      <c r="O6" s="6"/>
      <c r="P6" s="64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8" customHeight="1" thickBot="1" x14ac:dyDescent="0.25">
      <c r="A7" s="4">
        <v>7</v>
      </c>
      <c r="B7" s="30"/>
      <c r="C7" s="65"/>
      <c r="D7" s="65"/>
      <c r="E7" s="65"/>
      <c r="F7" s="65"/>
      <c r="G7" s="65"/>
      <c r="H7" s="65"/>
      <c r="I7" s="65"/>
      <c r="J7" s="66"/>
      <c r="K7" s="66"/>
      <c r="L7" s="66"/>
      <c r="M7" s="66"/>
      <c r="N7" s="66"/>
      <c r="O7" s="66"/>
      <c r="P7" s="65"/>
      <c r="Q7" s="66"/>
      <c r="R7" s="66"/>
      <c r="S7" s="66"/>
      <c r="T7" s="65"/>
      <c r="U7" s="66"/>
      <c r="V7" s="66"/>
      <c r="W7" s="66"/>
      <c r="X7" s="65"/>
      <c r="Y7" s="66"/>
      <c r="Z7" s="66"/>
      <c r="AA7" s="66"/>
      <c r="AB7" s="66"/>
    </row>
    <row r="8" spans="1:28" s="72" customFormat="1" ht="24.75" customHeight="1" x14ac:dyDescent="0.2">
      <c r="A8" s="4">
        <v>8</v>
      </c>
      <c r="B8" s="164"/>
      <c r="C8" s="165"/>
      <c r="D8" s="67" t="s">
        <v>204</v>
      </c>
      <c r="E8" s="67"/>
      <c r="F8" s="67"/>
      <c r="G8" s="67"/>
      <c r="H8" s="68"/>
      <c r="I8" s="69" t="s">
        <v>186</v>
      </c>
      <c r="J8" s="69"/>
      <c r="K8" s="69"/>
      <c r="L8" s="69"/>
      <c r="M8" s="69"/>
      <c r="N8" s="69"/>
      <c r="O8" s="152"/>
      <c r="P8" s="69" t="s">
        <v>188</v>
      </c>
      <c r="Q8" s="69"/>
      <c r="R8" s="70"/>
      <c r="S8" s="71"/>
      <c r="T8" s="69" t="s">
        <v>190</v>
      </c>
      <c r="U8" s="69"/>
      <c r="V8" s="70"/>
      <c r="W8" s="71"/>
      <c r="X8" s="69" t="s">
        <v>192</v>
      </c>
      <c r="Y8" s="69"/>
      <c r="Z8" s="70"/>
      <c r="AA8" s="71"/>
      <c r="AB8" s="183"/>
    </row>
    <row r="9" spans="1:28" s="25" customFormat="1" ht="24" customHeight="1" x14ac:dyDescent="0.2">
      <c r="A9" s="4">
        <v>9</v>
      </c>
      <c r="B9" s="166" t="s">
        <v>38</v>
      </c>
      <c r="C9" s="78" t="s">
        <v>221</v>
      </c>
      <c r="D9" s="150"/>
      <c r="E9" s="74"/>
      <c r="F9" s="74"/>
      <c r="G9" s="74"/>
      <c r="H9" s="158"/>
      <c r="I9" s="73" t="s">
        <v>208</v>
      </c>
      <c r="J9" s="74" t="s">
        <v>44</v>
      </c>
      <c r="K9" s="74" t="s">
        <v>90</v>
      </c>
      <c r="L9" s="74" t="s">
        <v>91</v>
      </c>
      <c r="M9" s="74" t="s">
        <v>90</v>
      </c>
      <c r="N9" s="74" t="s">
        <v>92</v>
      </c>
      <c r="O9" s="75" t="s">
        <v>93</v>
      </c>
      <c r="P9" s="73" t="s">
        <v>208</v>
      </c>
      <c r="Q9" s="74" t="s">
        <v>94</v>
      </c>
      <c r="R9" s="74" t="s">
        <v>90</v>
      </c>
      <c r="S9" s="75" t="s">
        <v>93</v>
      </c>
      <c r="T9" s="73" t="s">
        <v>208</v>
      </c>
      <c r="U9" s="74" t="s">
        <v>95</v>
      </c>
      <c r="V9" s="74" t="s">
        <v>90</v>
      </c>
      <c r="W9" s="75" t="s">
        <v>93</v>
      </c>
      <c r="X9" s="73" t="s">
        <v>208</v>
      </c>
      <c r="Y9" s="74" t="s">
        <v>96</v>
      </c>
      <c r="Z9" s="74" t="s">
        <v>90</v>
      </c>
      <c r="AA9" s="75" t="s">
        <v>93</v>
      </c>
      <c r="AB9" s="184" t="s">
        <v>93</v>
      </c>
    </row>
    <row r="10" spans="1:28" s="25" customFormat="1" ht="25.5" customHeight="1" x14ac:dyDescent="0.2">
      <c r="A10" s="4">
        <v>10</v>
      </c>
      <c r="B10" s="166" t="s">
        <v>40</v>
      </c>
      <c r="C10" s="78" t="s">
        <v>222</v>
      </c>
      <c r="D10" s="151" t="s">
        <v>44</v>
      </c>
      <c r="E10" s="77" t="s">
        <v>47</v>
      </c>
      <c r="F10" s="77" t="s">
        <v>27</v>
      </c>
      <c r="G10" s="77" t="s">
        <v>48</v>
      </c>
      <c r="H10" s="78" t="s">
        <v>49</v>
      </c>
      <c r="I10" s="76" t="s">
        <v>44</v>
      </c>
      <c r="J10" s="77" t="s">
        <v>97</v>
      </c>
      <c r="K10" s="77" t="s">
        <v>98</v>
      </c>
      <c r="L10" s="623" t="s">
        <v>570</v>
      </c>
      <c r="M10" s="77" t="s">
        <v>100</v>
      </c>
      <c r="N10" s="77" t="s">
        <v>101</v>
      </c>
      <c r="O10" s="153" t="s">
        <v>102</v>
      </c>
      <c r="P10" s="76" t="s">
        <v>47</v>
      </c>
      <c r="Q10" s="77" t="s">
        <v>97</v>
      </c>
      <c r="R10" s="77" t="s">
        <v>98</v>
      </c>
      <c r="S10" s="78" t="s">
        <v>94</v>
      </c>
      <c r="T10" s="76" t="s">
        <v>27</v>
      </c>
      <c r="U10" s="77" t="s">
        <v>97</v>
      </c>
      <c r="V10" s="77" t="s">
        <v>98</v>
      </c>
      <c r="W10" s="78" t="s">
        <v>103</v>
      </c>
      <c r="X10" s="249" t="s">
        <v>48</v>
      </c>
      <c r="Y10" s="77" t="s">
        <v>97</v>
      </c>
      <c r="Z10" s="77" t="s">
        <v>98</v>
      </c>
      <c r="AA10" s="78" t="s">
        <v>104</v>
      </c>
      <c r="AB10" s="185" t="s">
        <v>105</v>
      </c>
    </row>
    <row r="11" spans="1:28" s="25" customFormat="1" ht="22.5" customHeight="1" x14ac:dyDescent="0.2">
      <c r="A11" s="4">
        <v>11</v>
      </c>
      <c r="B11" s="166"/>
      <c r="C11" s="285" t="s">
        <v>41</v>
      </c>
      <c r="D11" s="151" t="s">
        <v>107</v>
      </c>
      <c r="E11" s="77" t="s">
        <v>108</v>
      </c>
      <c r="F11" s="77" t="s">
        <v>107</v>
      </c>
      <c r="G11" s="77" t="s">
        <v>108</v>
      </c>
      <c r="H11" s="78" t="s">
        <v>109</v>
      </c>
      <c r="I11" s="76" t="s">
        <v>107</v>
      </c>
      <c r="J11" s="79" t="s">
        <v>110</v>
      </c>
      <c r="K11" s="77" t="s">
        <v>111</v>
      </c>
      <c r="L11" s="624"/>
      <c r="M11" s="77" t="s">
        <v>111</v>
      </c>
      <c r="N11" s="77" t="s">
        <v>113</v>
      </c>
      <c r="O11" s="153" t="s">
        <v>114</v>
      </c>
      <c r="P11" s="76" t="s">
        <v>108</v>
      </c>
      <c r="Q11" s="79" t="s">
        <v>110</v>
      </c>
      <c r="R11" s="77" t="s">
        <v>111</v>
      </c>
      <c r="S11" s="78" t="s">
        <v>115</v>
      </c>
      <c r="T11" s="76" t="s">
        <v>107</v>
      </c>
      <c r="U11" s="79" t="s">
        <v>110</v>
      </c>
      <c r="V11" s="77" t="s">
        <v>111</v>
      </c>
      <c r="W11" s="78" t="s">
        <v>114</v>
      </c>
      <c r="X11" s="249" t="s">
        <v>108</v>
      </c>
      <c r="Y11" s="79" t="s">
        <v>110</v>
      </c>
      <c r="Z11" s="77" t="s">
        <v>111</v>
      </c>
      <c r="AA11" s="78" t="s">
        <v>115</v>
      </c>
      <c r="AB11" s="185" t="s">
        <v>57</v>
      </c>
    </row>
    <row r="12" spans="1:28" ht="32.25" customHeight="1" x14ac:dyDescent="0.2">
      <c r="A12" s="4">
        <v>12</v>
      </c>
      <c r="B12" s="167"/>
      <c r="C12" s="293" t="s">
        <v>50</v>
      </c>
      <c r="D12" s="162"/>
      <c r="E12" s="80"/>
      <c r="F12" s="80"/>
      <c r="G12" s="80"/>
      <c r="H12" s="97"/>
      <c r="I12" s="83" t="s">
        <v>162</v>
      </c>
      <c r="J12" s="81" t="s">
        <v>116</v>
      </c>
      <c r="K12" s="81" t="s">
        <v>117</v>
      </c>
      <c r="L12" s="81" t="s">
        <v>116</v>
      </c>
      <c r="M12" s="81" t="s">
        <v>177</v>
      </c>
      <c r="N12" s="81" t="s">
        <v>118</v>
      </c>
      <c r="O12" s="82" t="s">
        <v>119</v>
      </c>
      <c r="P12" s="83" t="s">
        <v>167</v>
      </c>
      <c r="Q12" s="81" t="s">
        <v>116</v>
      </c>
      <c r="R12" s="81" t="s">
        <v>120</v>
      </c>
      <c r="S12" s="82" t="s">
        <v>121</v>
      </c>
      <c r="T12" s="83" t="s">
        <v>166</v>
      </c>
      <c r="U12" s="81" t="s">
        <v>116</v>
      </c>
      <c r="V12" s="81" t="s">
        <v>165</v>
      </c>
      <c r="W12" s="82" t="s">
        <v>122</v>
      </c>
      <c r="X12" s="304" t="s">
        <v>164</v>
      </c>
      <c r="Y12" s="81" t="s">
        <v>116</v>
      </c>
      <c r="Z12" s="81" t="s">
        <v>123</v>
      </c>
      <c r="AA12" s="82" t="s">
        <v>124</v>
      </c>
      <c r="AB12" s="186" t="s">
        <v>135</v>
      </c>
    </row>
    <row r="13" spans="1:28" ht="18" customHeight="1" x14ac:dyDescent="0.2">
      <c r="A13" s="4">
        <v>13</v>
      </c>
      <c r="B13" s="380" t="str">
        <f>'D1. Member Months'!B$10</f>
        <v>Nursing Home Level of Care</v>
      </c>
      <c r="C13" s="168">
        <f>'D1. Member Months'!D$10</f>
        <v>436922.1</v>
      </c>
      <c r="D13" s="84">
        <f>'D3. Actual Waiver Cost'!K26</f>
        <v>2914.0903533375858</v>
      </c>
      <c r="E13" s="85">
        <f>'D3. Actual Waiver Cost'!L26</f>
        <v>0</v>
      </c>
      <c r="F13" s="85">
        <f>'D3. Actual Waiver Cost'!M26</f>
        <v>0</v>
      </c>
      <c r="G13" s="85">
        <f>'D3. Actual Waiver Cost'!N26</f>
        <v>113.86278011572315</v>
      </c>
      <c r="H13" s="159">
        <f>'D3. Actual Waiver Cost'!O26</f>
        <v>3027.953133453309</v>
      </c>
      <c r="I13" s="154">
        <f>D13</f>
        <v>2914.0903533375858</v>
      </c>
      <c r="J13" s="388">
        <v>3.4106263477676389E-2</v>
      </c>
      <c r="K13" s="85">
        <f>J13*I13</f>
        <v>99.388733388686788</v>
      </c>
      <c r="L13" s="388">
        <v>1.4969206617986331E-2</v>
      </c>
      <c r="M13" s="85">
        <f>(I13+K13)*(L13)</f>
        <v>45.109391088186328</v>
      </c>
      <c r="N13" s="85">
        <f>K13+M13</f>
        <v>144.4981244768731</v>
      </c>
      <c r="O13" s="155">
        <f>I13+N13</f>
        <v>3058.5884778144591</v>
      </c>
      <c r="P13" s="154">
        <f>E13</f>
        <v>0</v>
      </c>
      <c r="Q13" s="388"/>
      <c r="R13" s="85">
        <f>Q13*P13</f>
        <v>0</v>
      </c>
      <c r="S13" s="181">
        <f>P13+R13</f>
        <v>0</v>
      </c>
      <c r="T13" s="154">
        <f>F13</f>
        <v>0</v>
      </c>
      <c r="U13" s="388"/>
      <c r="V13" s="85">
        <f>T13*U13</f>
        <v>0</v>
      </c>
      <c r="W13" s="181">
        <f>V13+T13</f>
        <v>0</v>
      </c>
      <c r="X13" s="154">
        <f>G13</f>
        <v>113.86278011572315</v>
      </c>
      <c r="Y13" s="388">
        <v>3.4106263477676389E-2</v>
      </c>
      <c r="Z13" s="85">
        <f>Y13*X13</f>
        <v>3.8834339789275862</v>
      </c>
      <c r="AA13" s="181">
        <f>Z13+X13</f>
        <v>117.74621409465074</v>
      </c>
      <c r="AB13" s="187">
        <f>AA13+W13+S13+O13</f>
        <v>3176.33469190911</v>
      </c>
    </row>
    <row r="14" spans="1:28" ht="18" customHeight="1" x14ac:dyDescent="0.2">
      <c r="A14" s="4">
        <v>14</v>
      </c>
      <c r="B14" s="380" t="str">
        <f>'D1. Member Months'!B$11</f>
        <v>Non-Nursing Home Level of Care</v>
      </c>
      <c r="C14" s="168">
        <f>'D1. Member Months'!D$11</f>
        <v>15335.830000000002</v>
      </c>
      <c r="D14" s="84">
        <f>'D3. Actual Waiver Cost'!K27</f>
        <v>565.97412725623587</v>
      </c>
      <c r="E14" s="85">
        <f>'D3. Actual Waiver Cost'!L27</f>
        <v>0</v>
      </c>
      <c r="F14" s="85">
        <f>'D3. Actual Waiver Cost'!M27</f>
        <v>0</v>
      </c>
      <c r="G14" s="85">
        <f>'D3. Actual Waiver Cost'!N27</f>
        <v>22.57921481915227</v>
      </c>
      <c r="H14" s="159">
        <f>'D3. Actual Waiver Cost'!O27</f>
        <v>588.55334207538806</v>
      </c>
      <c r="I14" s="154">
        <f>D14</f>
        <v>565.97412725623587</v>
      </c>
      <c r="J14" s="388">
        <v>3.4106263477676389E-2</v>
      </c>
      <c r="K14" s="85">
        <f>J14*I14</f>
        <v>19.303262705749127</v>
      </c>
      <c r="L14" s="388">
        <v>-5.5204258442536226E-3</v>
      </c>
      <c r="M14" s="85">
        <f>(I14+K14)*(L14)</f>
        <v>-3.2309804296034477</v>
      </c>
      <c r="N14" s="85">
        <f>K14+M14</f>
        <v>16.072282276145678</v>
      </c>
      <c r="O14" s="155">
        <f>I14+N14</f>
        <v>582.04640953238152</v>
      </c>
      <c r="P14" s="154">
        <f>E14</f>
        <v>0</v>
      </c>
      <c r="Q14" s="388"/>
      <c r="R14" s="85">
        <f>Q14*P14</f>
        <v>0</v>
      </c>
      <c r="S14" s="181">
        <f>P14+R14</f>
        <v>0</v>
      </c>
      <c r="T14" s="154">
        <f>F14</f>
        <v>0</v>
      </c>
      <c r="U14" s="388"/>
      <c r="V14" s="85">
        <f>T14*U14</f>
        <v>0</v>
      </c>
      <c r="W14" s="181">
        <f>V14+T14</f>
        <v>0</v>
      </c>
      <c r="X14" s="154">
        <f>G14</f>
        <v>22.57921481915227</v>
      </c>
      <c r="Y14" s="388">
        <v>3.4106263477676389E-2</v>
      </c>
      <c r="Z14" s="85">
        <f>Y14*X14</f>
        <v>0.77009264974106251</v>
      </c>
      <c r="AA14" s="181">
        <f>Z14+X14</f>
        <v>23.349307468893333</v>
      </c>
      <c r="AB14" s="187">
        <f>AA14+W14+S14+O14</f>
        <v>605.39571700127487</v>
      </c>
    </row>
    <row r="15" spans="1:28" ht="18" customHeight="1" x14ac:dyDescent="0.2">
      <c r="A15" s="4">
        <v>15</v>
      </c>
      <c r="B15" s="380"/>
      <c r="C15" s="168"/>
      <c r="D15" s="84"/>
      <c r="E15" s="85"/>
      <c r="F15" s="85"/>
      <c r="G15" s="85"/>
      <c r="H15" s="159"/>
      <c r="I15" s="154"/>
      <c r="J15" s="389"/>
      <c r="K15" s="85"/>
      <c r="L15" s="475"/>
      <c r="M15" s="85"/>
      <c r="N15" s="85"/>
      <c r="O15" s="155"/>
      <c r="P15" s="154"/>
      <c r="Q15" s="388"/>
      <c r="R15" s="85"/>
      <c r="S15" s="181"/>
      <c r="T15" s="154"/>
      <c r="U15" s="388"/>
      <c r="V15" s="85"/>
      <c r="W15" s="181"/>
      <c r="X15" s="154"/>
      <c r="Y15" s="388"/>
      <c r="Z15" s="85"/>
      <c r="AA15" s="181"/>
      <c r="AB15" s="187"/>
    </row>
    <row r="16" spans="1:28" ht="18" customHeight="1" thickBot="1" x14ac:dyDescent="0.25">
      <c r="A16" s="4">
        <v>16</v>
      </c>
      <c r="B16" s="380"/>
      <c r="C16" s="168"/>
      <c r="D16" s="176"/>
      <c r="E16" s="177"/>
      <c r="F16" s="177"/>
      <c r="G16" s="177"/>
      <c r="H16" s="178"/>
      <c r="I16" s="179"/>
      <c r="J16" s="390"/>
      <c r="K16" s="177"/>
      <c r="L16" s="390"/>
      <c r="M16" s="177"/>
      <c r="N16" s="177"/>
      <c r="O16" s="180"/>
      <c r="P16" s="179"/>
      <c r="Q16" s="391"/>
      <c r="R16" s="177"/>
      <c r="S16" s="182"/>
      <c r="T16" s="179"/>
      <c r="U16" s="391"/>
      <c r="V16" s="177"/>
      <c r="W16" s="182"/>
      <c r="X16" s="179"/>
      <c r="Y16" s="391"/>
      <c r="Z16" s="177"/>
      <c r="AA16" s="182"/>
      <c r="AB16" s="188"/>
    </row>
    <row r="17" spans="1:28" s="72" customFormat="1" ht="18" customHeight="1" thickTop="1" x14ac:dyDescent="0.2">
      <c r="A17" s="4">
        <v>17</v>
      </c>
      <c r="B17" s="412" t="s">
        <v>125</v>
      </c>
      <c r="C17" s="169">
        <f>SUM(C13:C16)</f>
        <v>452257.93</v>
      </c>
      <c r="D17" s="170"/>
      <c r="E17" s="171"/>
      <c r="F17" s="171"/>
      <c r="G17" s="171"/>
      <c r="H17" s="172"/>
      <c r="I17" s="173"/>
      <c r="J17" s="171"/>
      <c r="K17" s="171"/>
      <c r="L17" s="171"/>
      <c r="M17" s="174"/>
      <c r="N17" s="195"/>
      <c r="O17" s="196"/>
      <c r="P17" s="173"/>
      <c r="Q17" s="175"/>
      <c r="R17" s="195"/>
      <c r="S17" s="197"/>
      <c r="T17" s="173"/>
      <c r="U17" s="175"/>
      <c r="V17" s="195"/>
      <c r="W17" s="197"/>
      <c r="X17" s="173"/>
      <c r="Y17" s="175"/>
      <c r="Z17" s="195"/>
      <c r="AA17" s="197"/>
      <c r="AB17" s="189"/>
    </row>
    <row r="18" spans="1:28" s="72" customFormat="1" ht="18" customHeight="1" thickBot="1" x14ac:dyDescent="0.25">
      <c r="A18" s="4">
        <v>18</v>
      </c>
      <c r="B18" s="255" t="s">
        <v>286</v>
      </c>
      <c r="C18" s="198"/>
      <c r="D18" s="163">
        <f>'D3. Actual Waiver Cost'!K31</f>
        <v>2834.4669595290457</v>
      </c>
      <c r="E18" s="157">
        <f>'D3. Actual Waiver Cost'!L31</f>
        <v>0</v>
      </c>
      <c r="F18" s="157">
        <f>'D3. Actual Waiver Cost'!M31</f>
        <v>0</v>
      </c>
      <c r="G18" s="157">
        <f>'D3. Actual Waiver Cost'!N31</f>
        <v>110.76740213267239</v>
      </c>
      <c r="H18" s="161">
        <f>'D3. Actual Waiver Cost'!O31</f>
        <v>2945.2343616617181</v>
      </c>
      <c r="I18" s="160">
        <f>D18</f>
        <v>2834.4669595290457</v>
      </c>
      <c r="J18" s="156">
        <f>IF(I18=0,0,K18/I18)</f>
        <v>3.4106263477676382E-2</v>
      </c>
      <c r="K18" s="157">
        <f>SUMPRODUCT(K13:K16,$C$13:$C$16)/$C$17</f>
        <v>96.673076940465918</v>
      </c>
      <c r="L18" s="156">
        <f>M18/(I18+K18)</f>
        <v>1.4830473405519507E-2</v>
      </c>
      <c r="M18" s="157">
        <f>SUMPRODUCT(M13:M16,$C$13:$C$16)/$C$17</f>
        <v>43.470194358714565</v>
      </c>
      <c r="N18" s="157">
        <f>K18+M18</f>
        <v>140.14327129918047</v>
      </c>
      <c r="O18" s="199">
        <f>I18+N18</f>
        <v>2974.6102308282261</v>
      </c>
      <c r="P18" s="160">
        <f>E18</f>
        <v>0</v>
      </c>
      <c r="Q18" s="156">
        <f>IF(P18=0,0,R18/P18)</f>
        <v>0</v>
      </c>
      <c r="R18" s="157">
        <f>SUMPRODUCT(R13:R16,$C$13:$C$16)/$C$17</f>
        <v>0</v>
      </c>
      <c r="S18" s="200">
        <f>P18+R18</f>
        <v>0</v>
      </c>
      <c r="T18" s="160">
        <f>F18</f>
        <v>0</v>
      </c>
      <c r="U18" s="156">
        <f>IF(T18=0,0,V18/T18)</f>
        <v>0</v>
      </c>
      <c r="V18" s="157">
        <f>SUMPRODUCT(V13:V16,$C$13:$C$16)/$C$17</f>
        <v>0</v>
      </c>
      <c r="W18" s="200">
        <f>V18+T18</f>
        <v>0</v>
      </c>
      <c r="X18" s="160">
        <f>G18</f>
        <v>110.76740213267239</v>
      </c>
      <c r="Y18" s="156">
        <f>IF(X18=0,0,Z18/X18)</f>
        <v>3.4106263477676389E-2</v>
      </c>
      <c r="Z18" s="157">
        <f>SUMPRODUCT(Z13:Z16,$C$13:$C$16)/$C$17</f>
        <v>3.7778622018746582</v>
      </c>
      <c r="AA18" s="200">
        <f>Z18+X18</f>
        <v>114.54526433454704</v>
      </c>
      <c r="AB18" s="190">
        <f>AA18+W18+S18+O18</f>
        <v>3089.1554951627731</v>
      </c>
    </row>
    <row r="19" spans="1:28" ht="18" customHeight="1" x14ac:dyDescent="0.2">
      <c r="A19" s="4">
        <v>19</v>
      </c>
      <c r="B19" s="8"/>
      <c r="J19" s="86"/>
      <c r="K19" s="86"/>
      <c r="L19" s="87"/>
      <c r="M19" s="88"/>
      <c r="N19" s="88"/>
      <c r="O19" s="245"/>
      <c r="P19" s="244"/>
      <c r="Q19" s="88"/>
      <c r="R19" s="88"/>
      <c r="S19" s="88"/>
      <c r="U19" s="88"/>
      <c r="V19" s="88"/>
      <c r="W19" s="88"/>
      <c r="Y19" s="88"/>
      <c r="Z19" s="88"/>
      <c r="AA19" s="88"/>
      <c r="AB19" s="89"/>
    </row>
    <row r="20" spans="1:28" x14ac:dyDescent="0.2">
      <c r="A20" s="4">
        <v>20</v>
      </c>
      <c r="B20" s="90"/>
      <c r="C20" s="622" t="s">
        <v>194</v>
      </c>
      <c r="D20" s="622"/>
      <c r="E20" s="622"/>
      <c r="F20" s="622"/>
      <c r="G20" s="622"/>
      <c r="H20" s="622"/>
      <c r="I20" s="622"/>
      <c r="J20" s="622"/>
      <c r="K20" s="622"/>
      <c r="L20" s="622"/>
      <c r="M20" s="622"/>
      <c r="N20" s="622"/>
      <c r="O20" s="622"/>
      <c r="P20" s="91"/>
      <c r="Q20" s="88"/>
      <c r="R20" s="88"/>
      <c r="S20" s="88"/>
      <c r="T20" s="92"/>
      <c r="U20" s="88"/>
      <c r="V20" s="88"/>
      <c r="W20" s="88"/>
      <c r="X20" s="92"/>
      <c r="Y20" s="88"/>
      <c r="Z20" s="88"/>
      <c r="AA20" s="88"/>
      <c r="AB20" s="89"/>
    </row>
    <row r="21" spans="1:28" x14ac:dyDescent="0.2">
      <c r="A21" s="4">
        <v>21</v>
      </c>
      <c r="B21" s="90"/>
      <c r="C21" s="8" t="s">
        <v>195</v>
      </c>
      <c r="P21" s="91"/>
      <c r="Q21" s="88"/>
      <c r="R21" s="88"/>
      <c r="S21" s="88"/>
      <c r="T21" s="92"/>
      <c r="U21" s="88"/>
      <c r="V21" s="88"/>
      <c r="W21" s="88"/>
      <c r="X21" s="92"/>
      <c r="Y21" s="88"/>
      <c r="Z21" s="88"/>
      <c r="AA21" s="88"/>
      <c r="AB21" s="89"/>
    </row>
    <row r="22" spans="1:28" x14ac:dyDescent="0.2">
      <c r="A22" s="4">
        <v>22</v>
      </c>
      <c r="B22" s="90"/>
      <c r="C22" s="622" t="s">
        <v>168</v>
      </c>
      <c r="D22" s="622"/>
      <c r="E22" s="622"/>
      <c r="F22" s="622"/>
      <c r="G22" s="622"/>
      <c r="H22" s="622"/>
      <c r="I22" s="622"/>
      <c r="J22" s="622"/>
      <c r="K22" s="622"/>
      <c r="L22" s="622"/>
      <c r="M22" s="622"/>
      <c r="N22" s="622"/>
      <c r="O22" s="622"/>
      <c r="P22" s="91"/>
      <c r="Q22" s="88"/>
      <c r="R22" s="88"/>
      <c r="S22" s="88"/>
      <c r="T22" s="92"/>
      <c r="U22" s="88"/>
      <c r="V22" s="88"/>
      <c r="W22" s="88"/>
      <c r="X22" s="92"/>
      <c r="Y22" s="88"/>
      <c r="Z22" s="88"/>
      <c r="AA22" s="88"/>
      <c r="AB22" s="89"/>
    </row>
    <row r="23" spans="1:28" ht="18" customHeight="1" x14ac:dyDescent="0.2">
      <c r="A23" s="4">
        <v>23</v>
      </c>
      <c r="B23" s="93"/>
      <c r="C23" s="94"/>
      <c r="D23" s="94"/>
      <c r="E23" s="95"/>
      <c r="F23" s="10"/>
      <c r="G23" s="10"/>
      <c r="H23" s="10"/>
      <c r="I23" s="94"/>
      <c r="K23" s="86"/>
      <c r="L23" s="87"/>
      <c r="M23" s="88"/>
      <c r="P23" s="95"/>
      <c r="T23" s="10"/>
      <c r="X23" s="10"/>
      <c r="Y23" s="88"/>
      <c r="Z23" s="88"/>
      <c r="AA23" s="88"/>
    </row>
    <row r="24" spans="1:28" ht="18" customHeight="1" thickBot="1" x14ac:dyDescent="0.25">
      <c r="A24" s="4">
        <v>24</v>
      </c>
      <c r="F24" s="96"/>
      <c r="G24" s="96"/>
      <c r="H24" s="96"/>
      <c r="J24" s="86"/>
      <c r="K24" s="86"/>
      <c r="T24" s="96"/>
      <c r="X24" s="96"/>
    </row>
    <row r="25" spans="1:28" s="72" customFormat="1" ht="24.75" customHeight="1" x14ac:dyDescent="0.2">
      <c r="A25" s="4">
        <v>25</v>
      </c>
      <c r="B25" s="164"/>
      <c r="C25" s="165"/>
      <c r="D25" s="67" t="s">
        <v>126</v>
      </c>
      <c r="E25" s="67"/>
      <c r="F25" s="67"/>
      <c r="G25" s="67"/>
      <c r="H25" s="68"/>
      <c r="I25" s="69" t="s">
        <v>187</v>
      </c>
      <c r="J25" s="69"/>
      <c r="K25" s="69"/>
      <c r="L25" s="69"/>
      <c r="M25" s="69"/>
      <c r="N25" s="69"/>
      <c r="O25" s="152"/>
      <c r="P25" s="69" t="s">
        <v>189</v>
      </c>
      <c r="Q25" s="69"/>
      <c r="R25" s="70"/>
      <c r="S25" s="71"/>
      <c r="T25" s="69" t="s">
        <v>191</v>
      </c>
      <c r="U25" s="69"/>
      <c r="V25" s="70"/>
      <c r="W25" s="71"/>
      <c r="X25" s="69" t="s">
        <v>193</v>
      </c>
      <c r="Y25" s="69"/>
      <c r="Z25" s="70"/>
      <c r="AA25" s="71"/>
      <c r="AB25" s="183"/>
    </row>
    <row r="26" spans="1:28" s="25" customFormat="1" ht="22.5" x14ac:dyDescent="0.2">
      <c r="A26" s="4">
        <v>26</v>
      </c>
      <c r="B26" s="166" t="s">
        <v>38</v>
      </c>
      <c r="C26" s="78" t="s">
        <v>221</v>
      </c>
      <c r="D26" s="150" t="s">
        <v>127</v>
      </c>
      <c r="E26" s="74" t="s">
        <v>127</v>
      </c>
      <c r="F26" s="74" t="s">
        <v>127</v>
      </c>
      <c r="G26" s="74" t="s">
        <v>127</v>
      </c>
      <c r="H26" s="158" t="s">
        <v>127</v>
      </c>
      <c r="I26" s="73" t="s">
        <v>127</v>
      </c>
      <c r="J26" s="74" t="s">
        <v>44</v>
      </c>
      <c r="K26" s="74" t="s">
        <v>90</v>
      </c>
      <c r="L26" s="74" t="s">
        <v>91</v>
      </c>
      <c r="M26" s="74" t="s">
        <v>90</v>
      </c>
      <c r="N26" s="74" t="s">
        <v>92</v>
      </c>
      <c r="O26" s="75" t="s">
        <v>128</v>
      </c>
      <c r="P26" s="73" t="s">
        <v>127</v>
      </c>
      <c r="Q26" s="74" t="s">
        <v>94</v>
      </c>
      <c r="R26" s="74" t="s">
        <v>90</v>
      </c>
      <c r="S26" s="75" t="s">
        <v>128</v>
      </c>
      <c r="T26" s="73" t="s">
        <v>127</v>
      </c>
      <c r="U26" s="74" t="s">
        <v>95</v>
      </c>
      <c r="V26" s="74" t="s">
        <v>90</v>
      </c>
      <c r="W26" s="75" t="s">
        <v>128</v>
      </c>
      <c r="X26" s="303" t="s">
        <v>127</v>
      </c>
      <c r="Y26" s="74" t="s">
        <v>96</v>
      </c>
      <c r="Z26" s="74" t="s">
        <v>90</v>
      </c>
      <c r="AA26" s="75" t="s">
        <v>128</v>
      </c>
      <c r="AB26" s="184" t="s">
        <v>128</v>
      </c>
    </row>
    <row r="27" spans="1:28" s="25" customFormat="1" ht="26.25" customHeight="1" x14ac:dyDescent="0.2">
      <c r="A27" s="4">
        <v>27</v>
      </c>
      <c r="B27" s="166" t="s">
        <v>40</v>
      </c>
      <c r="C27" s="78" t="s">
        <v>222</v>
      </c>
      <c r="D27" s="151" t="s">
        <v>44</v>
      </c>
      <c r="E27" s="77" t="s">
        <v>47</v>
      </c>
      <c r="F27" s="77" t="s">
        <v>27</v>
      </c>
      <c r="G27" s="77" t="s">
        <v>48</v>
      </c>
      <c r="H27" s="78" t="s">
        <v>49</v>
      </c>
      <c r="I27" s="76" t="s">
        <v>102</v>
      </c>
      <c r="J27" s="77" t="s">
        <v>97</v>
      </c>
      <c r="K27" s="77" t="s">
        <v>98</v>
      </c>
      <c r="L27" s="623" t="s">
        <v>571</v>
      </c>
      <c r="M27" s="77" t="s">
        <v>100</v>
      </c>
      <c r="N27" s="77" t="s">
        <v>101</v>
      </c>
      <c r="O27" s="153" t="s">
        <v>102</v>
      </c>
      <c r="P27" s="76" t="s">
        <v>94</v>
      </c>
      <c r="Q27" s="77" t="s">
        <v>97</v>
      </c>
      <c r="R27" s="77" t="s">
        <v>98</v>
      </c>
      <c r="S27" s="78" t="s">
        <v>94</v>
      </c>
      <c r="T27" s="76" t="s">
        <v>103</v>
      </c>
      <c r="U27" s="77" t="s">
        <v>97</v>
      </c>
      <c r="V27" s="77" t="s">
        <v>98</v>
      </c>
      <c r="W27" s="78" t="s">
        <v>103</v>
      </c>
      <c r="X27" s="249" t="s">
        <v>104</v>
      </c>
      <c r="Y27" s="77" t="s">
        <v>97</v>
      </c>
      <c r="Z27" s="77" t="s">
        <v>98</v>
      </c>
      <c r="AA27" s="78" t="s">
        <v>104</v>
      </c>
      <c r="AB27" s="185" t="s">
        <v>105</v>
      </c>
    </row>
    <row r="28" spans="1:28" s="25" customFormat="1" ht="29.25" customHeight="1" x14ac:dyDescent="0.2">
      <c r="A28" s="4">
        <v>28</v>
      </c>
      <c r="B28" s="166"/>
      <c r="C28" s="285" t="s">
        <v>41</v>
      </c>
      <c r="D28" s="151" t="s">
        <v>53</v>
      </c>
      <c r="E28" s="77" t="s">
        <v>53</v>
      </c>
      <c r="F28" s="77" t="s">
        <v>53</v>
      </c>
      <c r="G28" s="77" t="s">
        <v>53</v>
      </c>
      <c r="H28" s="78" t="s">
        <v>196</v>
      </c>
      <c r="I28" s="76" t="s">
        <v>114</v>
      </c>
      <c r="J28" s="79" t="s">
        <v>130</v>
      </c>
      <c r="K28" s="77" t="s">
        <v>111</v>
      </c>
      <c r="L28" s="624"/>
      <c r="M28" s="77" t="s">
        <v>111</v>
      </c>
      <c r="N28" s="77" t="s">
        <v>113</v>
      </c>
      <c r="O28" s="153" t="s">
        <v>114</v>
      </c>
      <c r="P28" s="76" t="s">
        <v>115</v>
      </c>
      <c r="Q28" s="79" t="s">
        <v>130</v>
      </c>
      <c r="R28" s="77" t="s">
        <v>111</v>
      </c>
      <c r="S28" s="78" t="s">
        <v>115</v>
      </c>
      <c r="T28" s="76" t="s">
        <v>114</v>
      </c>
      <c r="U28" s="79" t="s">
        <v>130</v>
      </c>
      <c r="V28" s="77" t="s">
        <v>111</v>
      </c>
      <c r="W28" s="78" t="s">
        <v>114</v>
      </c>
      <c r="X28" s="249" t="s">
        <v>115</v>
      </c>
      <c r="Y28" s="79" t="s">
        <v>130</v>
      </c>
      <c r="Z28" s="77" t="s">
        <v>111</v>
      </c>
      <c r="AA28" s="78" t="s">
        <v>115</v>
      </c>
      <c r="AB28" s="185" t="s">
        <v>57</v>
      </c>
    </row>
    <row r="29" spans="1:28" ht="24" customHeight="1" x14ac:dyDescent="0.2">
      <c r="A29" s="4">
        <v>29</v>
      </c>
      <c r="B29" s="167"/>
      <c r="C29" s="293" t="s">
        <v>50</v>
      </c>
      <c r="D29" s="162" t="s">
        <v>131</v>
      </c>
      <c r="E29" s="80" t="s">
        <v>132</v>
      </c>
      <c r="F29" s="80" t="s">
        <v>163</v>
      </c>
      <c r="G29" s="80" t="s">
        <v>133</v>
      </c>
      <c r="H29" s="97" t="s">
        <v>134</v>
      </c>
      <c r="I29" s="83" t="s">
        <v>281</v>
      </c>
      <c r="J29" s="81" t="s">
        <v>116</v>
      </c>
      <c r="K29" s="81" t="s">
        <v>117</v>
      </c>
      <c r="L29" s="81" t="s">
        <v>116</v>
      </c>
      <c r="M29" s="81" t="s">
        <v>177</v>
      </c>
      <c r="N29" s="81" t="s">
        <v>118</v>
      </c>
      <c r="O29" s="82" t="s">
        <v>119</v>
      </c>
      <c r="P29" s="83" t="s">
        <v>282</v>
      </c>
      <c r="Q29" s="81" t="s">
        <v>116</v>
      </c>
      <c r="R29" s="81" t="s">
        <v>120</v>
      </c>
      <c r="S29" s="82" t="s">
        <v>121</v>
      </c>
      <c r="T29" s="83" t="s">
        <v>283</v>
      </c>
      <c r="U29" s="81" t="s">
        <v>116</v>
      </c>
      <c r="V29" s="81" t="s">
        <v>165</v>
      </c>
      <c r="W29" s="82" t="s">
        <v>122</v>
      </c>
      <c r="X29" s="304" t="s">
        <v>284</v>
      </c>
      <c r="Y29" s="81"/>
      <c r="Z29" s="81" t="s">
        <v>123</v>
      </c>
      <c r="AA29" s="82" t="s">
        <v>124</v>
      </c>
      <c r="AB29" s="186" t="s">
        <v>135</v>
      </c>
    </row>
    <row r="30" spans="1:28" ht="18" customHeight="1" x14ac:dyDescent="0.2">
      <c r="A30" s="4">
        <v>30</v>
      </c>
      <c r="B30" s="380" t="str">
        <f>'D1. Member Months'!B$10</f>
        <v>Nursing Home Level of Care</v>
      </c>
      <c r="C30" s="168">
        <f>'D1. Member Months'!D$10</f>
        <v>436922.1</v>
      </c>
      <c r="D30" s="84">
        <f>O13</f>
        <v>3058.5884778144591</v>
      </c>
      <c r="E30" s="85">
        <f>S13</f>
        <v>0</v>
      </c>
      <c r="F30" s="85">
        <f>W13</f>
        <v>0</v>
      </c>
      <c r="G30" s="85">
        <f>AA13</f>
        <v>117.74621409465074</v>
      </c>
      <c r="H30" s="159">
        <f>AB13</f>
        <v>3176.33469190911</v>
      </c>
      <c r="I30" s="154">
        <f>D30</f>
        <v>3058.5884778144591</v>
      </c>
      <c r="J30" s="388">
        <v>2.9094416017599482E-2</v>
      </c>
      <c r="K30" s="85">
        <f>J30*I30</f>
        <v>88.987845600170218</v>
      </c>
      <c r="L30" s="388">
        <v>-3.9038438635639865E-3</v>
      </c>
      <c r="M30" s="85">
        <f>(I30+K30)*(L30)</f>
        <v>-12.287646515261494</v>
      </c>
      <c r="N30" s="85">
        <f>K30+M30</f>
        <v>76.700199084908718</v>
      </c>
      <c r="O30" s="155">
        <f>N30+I30</f>
        <v>3135.2886768993676</v>
      </c>
      <c r="P30" s="154">
        <f>E30</f>
        <v>0</v>
      </c>
      <c r="Q30" s="388"/>
      <c r="R30" s="85">
        <f>Q30*P30</f>
        <v>0</v>
      </c>
      <c r="S30" s="181">
        <f>P30+R30</f>
        <v>0</v>
      </c>
      <c r="T30" s="154">
        <f>F30</f>
        <v>0</v>
      </c>
      <c r="U30" s="388"/>
      <c r="V30" s="85">
        <f>T30*U30</f>
        <v>0</v>
      </c>
      <c r="W30" s="181">
        <f>V30+T30</f>
        <v>0</v>
      </c>
      <c r="X30" s="154">
        <f>G30</f>
        <v>117.74621409465074</v>
      </c>
      <c r="Y30" s="388">
        <v>2.9094416017599482E-2</v>
      </c>
      <c r="Z30" s="85">
        <f>Y30*X30</f>
        <v>3.4257573373671044</v>
      </c>
      <c r="AA30" s="181">
        <f>Z30+X30</f>
        <v>121.17197143201784</v>
      </c>
      <c r="AB30" s="187">
        <f>AA30+W30+S30+O30</f>
        <v>3256.4606483313855</v>
      </c>
    </row>
    <row r="31" spans="1:28" ht="18" customHeight="1" x14ac:dyDescent="0.2">
      <c r="A31" s="4">
        <v>31</v>
      </c>
      <c r="B31" s="380" t="str">
        <f>'D1. Member Months'!B$11</f>
        <v>Non-Nursing Home Level of Care</v>
      </c>
      <c r="C31" s="168">
        <f>'D1. Member Months'!D$11</f>
        <v>15335.830000000002</v>
      </c>
      <c r="D31" s="84">
        <f>O14</f>
        <v>582.04640953238152</v>
      </c>
      <c r="E31" s="85">
        <f>S14</f>
        <v>0</v>
      </c>
      <c r="F31" s="85">
        <f>W14</f>
        <v>0</v>
      </c>
      <c r="G31" s="85">
        <f>AA14</f>
        <v>23.349307468893333</v>
      </c>
      <c r="H31" s="159">
        <f>AB14</f>
        <v>605.39571700127487</v>
      </c>
      <c r="I31" s="154">
        <f>D31</f>
        <v>582.04640953238152</v>
      </c>
      <c r="J31" s="388">
        <v>2.9094416017599472E-2</v>
      </c>
      <c r="K31" s="85">
        <f>J31*I31</f>
        <v>16.934300380485183</v>
      </c>
      <c r="L31" s="388">
        <v>-1.2411178348553167E-3</v>
      </c>
      <c r="M31" s="85">
        <f>(I31+K31)*(L31)</f>
        <v>-0.74340564180715762</v>
      </c>
      <c r="N31" s="85">
        <f>K31+M31</f>
        <v>16.190894738678026</v>
      </c>
      <c r="O31" s="155">
        <f>N31+I31</f>
        <v>598.23730427105954</v>
      </c>
      <c r="P31" s="154">
        <f>E31</f>
        <v>0</v>
      </c>
      <c r="Q31" s="388"/>
      <c r="R31" s="85">
        <f>Q31*P31</f>
        <v>0</v>
      </c>
      <c r="S31" s="181">
        <f>P31+R31</f>
        <v>0</v>
      </c>
      <c r="T31" s="154">
        <f>F31</f>
        <v>0</v>
      </c>
      <c r="U31" s="388"/>
      <c r="V31" s="85">
        <f>T31*U31</f>
        <v>0</v>
      </c>
      <c r="W31" s="181">
        <f>V31+T31</f>
        <v>0</v>
      </c>
      <c r="X31" s="154">
        <f>G31</f>
        <v>23.349307468893333</v>
      </c>
      <c r="Y31" s="388">
        <v>2.9094416017599472E-2</v>
      </c>
      <c r="Z31" s="85">
        <f>Y31*X31</f>
        <v>0.67933446522282515</v>
      </c>
      <c r="AA31" s="181">
        <f>Z31+X31</f>
        <v>24.028641934116159</v>
      </c>
      <c r="AB31" s="187">
        <f>AA31+W31+S31+O31</f>
        <v>622.26594620517574</v>
      </c>
    </row>
    <row r="32" spans="1:28" ht="18" customHeight="1" x14ac:dyDescent="0.2">
      <c r="A32" s="4">
        <v>32</v>
      </c>
      <c r="B32" s="380"/>
      <c r="C32" s="168"/>
      <c r="D32" s="84"/>
      <c r="E32" s="85"/>
      <c r="F32" s="85"/>
      <c r="G32" s="85"/>
      <c r="H32" s="159"/>
      <c r="I32" s="154"/>
      <c r="J32" s="389"/>
      <c r="K32" s="85"/>
      <c r="L32" s="475"/>
      <c r="M32" s="85"/>
      <c r="N32" s="85"/>
      <c r="O32" s="155"/>
      <c r="P32" s="154"/>
      <c r="Q32" s="388"/>
      <c r="R32" s="85"/>
      <c r="S32" s="181"/>
      <c r="T32" s="154"/>
      <c r="U32" s="388"/>
      <c r="V32" s="85"/>
      <c r="W32" s="181"/>
      <c r="X32" s="154"/>
      <c r="Y32" s="388"/>
      <c r="Z32" s="85"/>
      <c r="AA32" s="181"/>
      <c r="AB32" s="187"/>
    </row>
    <row r="33" spans="1:28" ht="18" customHeight="1" thickBot="1" x14ac:dyDescent="0.25">
      <c r="A33" s="4">
        <v>33</v>
      </c>
      <c r="B33" s="380"/>
      <c r="C33" s="168"/>
      <c r="D33" s="176"/>
      <c r="E33" s="177"/>
      <c r="F33" s="177"/>
      <c r="G33" s="177"/>
      <c r="H33" s="178"/>
      <c r="I33" s="179"/>
      <c r="J33" s="390"/>
      <c r="K33" s="177"/>
      <c r="L33" s="390"/>
      <c r="M33" s="177"/>
      <c r="N33" s="177"/>
      <c r="O33" s="180"/>
      <c r="P33" s="179"/>
      <c r="Q33" s="391"/>
      <c r="R33" s="177"/>
      <c r="S33" s="182"/>
      <c r="T33" s="179"/>
      <c r="U33" s="391"/>
      <c r="V33" s="177"/>
      <c r="W33" s="182"/>
      <c r="X33" s="179"/>
      <c r="Y33" s="391"/>
      <c r="Z33" s="177"/>
      <c r="AA33" s="182"/>
      <c r="AB33" s="188"/>
    </row>
    <row r="34" spans="1:28" s="72" customFormat="1" ht="18" customHeight="1" thickTop="1" x14ac:dyDescent="0.2">
      <c r="A34" s="4">
        <v>34</v>
      </c>
      <c r="B34" s="412" t="s">
        <v>125</v>
      </c>
      <c r="C34" s="169">
        <f>SUM(C30:C33)</f>
        <v>452257.93</v>
      </c>
      <c r="D34" s="170"/>
      <c r="E34" s="171"/>
      <c r="F34" s="171"/>
      <c r="G34" s="171"/>
      <c r="H34" s="172"/>
      <c r="I34" s="173"/>
      <c r="J34" s="171"/>
      <c r="K34" s="171"/>
      <c r="L34" s="171"/>
      <c r="M34" s="174"/>
      <c r="N34" s="195"/>
      <c r="O34" s="196"/>
      <c r="P34" s="173"/>
      <c r="Q34" s="175"/>
      <c r="R34" s="195"/>
      <c r="S34" s="197"/>
      <c r="T34" s="173"/>
      <c r="U34" s="175"/>
      <c r="V34" s="195"/>
      <c r="W34" s="197"/>
      <c r="X34" s="173"/>
      <c r="Y34" s="175"/>
      <c r="Z34" s="195"/>
      <c r="AA34" s="197"/>
      <c r="AB34" s="189"/>
    </row>
    <row r="35" spans="1:28" s="72" customFormat="1" ht="18" customHeight="1" thickBot="1" x14ac:dyDescent="0.25">
      <c r="A35" s="4">
        <v>35</v>
      </c>
      <c r="B35" s="255" t="s">
        <v>287</v>
      </c>
      <c r="C35" s="198"/>
      <c r="D35" s="163">
        <f>O18</f>
        <v>2974.6102308282261</v>
      </c>
      <c r="E35" s="157">
        <f>S18</f>
        <v>0</v>
      </c>
      <c r="F35" s="157">
        <f>W18</f>
        <v>0</v>
      </c>
      <c r="G35" s="157">
        <f>AA18</f>
        <v>114.54526433454704</v>
      </c>
      <c r="H35" s="161">
        <f>AB18</f>
        <v>3089.1554951627731</v>
      </c>
      <c r="I35" s="160">
        <f>D35</f>
        <v>2974.6102308282261</v>
      </c>
      <c r="J35" s="156">
        <f>IF(I35=0,0,K35/I35)</f>
        <v>2.9094416017599486E-2</v>
      </c>
      <c r="K35" s="157">
        <f>SUMPRODUCT(K30:K33,$C30:$C33)/$C34</f>
        <v>86.544547545924047</v>
      </c>
      <c r="L35" s="156">
        <f>M35/(I35+K35)</f>
        <v>-3.8861763625093553E-3</v>
      </c>
      <c r="M35" s="157">
        <f>SUMPRODUCT(M30:M33,$C30:$C33)/$C34</f>
        <v>-11.896187341700188</v>
      </c>
      <c r="N35" s="157">
        <f>K35+M35</f>
        <v>74.648360204223863</v>
      </c>
      <c r="O35" s="199">
        <f>N35+I35</f>
        <v>3049.2585910324501</v>
      </c>
      <c r="P35" s="160">
        <f>E35</f>
        <v>0</v>
      </c>
      <c r="Q35" s="156">
        <f>IF(P35=0,0,R35/P35)</f>
        <v>0</v>
      </c>
      <c r="R35" s="157">
        <f>SUMPRODUCT(R30:R33,$C30:$C33)/$C34</f>
        <v>0</v>
      </c>
      <c r="S35" s="200">
        <f>P35+R35</f>
        <v>0</v>
      </c>
      <c r="T35" s="160">
        <f>F35</f>
        <v>0</v>
      </c>
      <c r="U35" s="156">
        <f>IF(T35=0,0,V35/T35)</f>
        <v>0</v>
      </c>
      <c r="V35" s="157">
        <f>SUMPRODUCT(V30:V33,$C30:$C33)/$C34</f>
        <v>0</v>
      </c>
      <c r="W35" s="200">
        <f>V35+T35</f>
        <v>0</v>
      </c>
      <c r="X35" s="160">
        <f>G35</f>
        <v>114.54526433454704</v>
      </c>
      <c r="Y35" s="156">
        <f>IF(X35=0,0,Z35/X35)</f>
        <v>2.9094416017599482E-2</v>
      </c>
      <c r="Z35" s="157">
        <f>SUMPRODUCT(Z30:Z33,$C30:$C33)/$C34</f>
        <v>3.3326275733952122</v>
      </c>
      <c r="AA35" s="200">
        <f>Z35+X35</f>
        <v>117.87789190794226</v>
      </c>
      <c r="AB35" s="190">
        <f>AA35+W35+S35+O35</f>
        <v>3167.1364829403924</v>
      </c>
    </row>
    <row r="36" spans="1:28" x14ac:dyDescent="0.2">
      <c r="A36" s="4">
        <v>36</v>
      </c>
      <c r="J36" s="86"/>
      <c r="K36" s="86"/>
    </row>
    <row r="37" spans="1:28" ht="12" thickBot="1" x14ac:dyDescent="0.25">
      <c r="A37" s="4">
        <v>37</v>
      </c>
      <c r="J37" s="86"/>
      <c r="K37" s="86"/>
      <c r="L37" s="244"/>
    </row>
    <row r="38" spans="1:28" ht="18" customHeight="1" x14ac:dyDescent="0.2">
      <c r="A38" s="4">
        <v>38</v>
      </c>
      <c r="B38" s="164"/>
      <c r="C38" s="165"/>
      <c r="D38" s="67" t="s">
        <v>383</v>
      </c>
      <c r="E38" s="67"/>
      <c r="F38" s="67"/>
      <c r="G38" s="67"/>
      <c r="H38" s="68"/>
      <c r="I38" s="69" t="s">
        <v>384</v>
      </c>
      <c r="J38" s="69"/>
      <c r="K38" s="69"/>
      <c r="L38" s="69"/>
      <c r="M38" s="69"/>
      <c r="N38" s="69"/>
      <c r="O38" s="152"/>
      <c r="P38" s="69" t="s">
        <v>386</v>
      </c>
      <c r="Q38" s="69"/>
      <c r="R38" s="70"/>
      <c r="S38" s="71"/>
      <c r="T38" s="69" t="s">
        <v>388</v>
      </c>
      <c r="U38" s="69"/>
      <c r="V38" s="70"/>
      <c r="W38" s="71"/>
      <c r="X38" s="69" t="s">
        <v>389</v>
      </c>
      <c r="Y38" s="69"/>
      <c r="Z38" s="70"/>
      <c r="AA38" s="71"/>
      <c r="AB38" s="183"/>
    </row>
    <row r="39" spans="1:28" ht="24" customHeight="1" x14ac:dyDescent="0.2">
      <c r="A39" s="4">
        <v>39</v>
      </c>
      <c r="B39" s="166" t="s">
        <v>38</v>
      </c>
      <c r="C39" s="78" t="s">
        <v>221</v>
      </c>
      <c r="D39" s="150" t="s">
        <v>169</v>
      </c>
      <c r="E39" s="150" t="s">
        <v>169</v>
      </c>
      <c r="F39" s="150" t="s">
        <v>169</v>
      </c>
      <c r="G39" s="150" t="s">
        <v>169</v>
      </c>
      <c r="H39" s="150" t="s">
        <v>169</v>
      </c>
      <c r="I39" s="73" t="s">
        <v>169</v>
      </c>
      <c r="J39" s="74" t="s">
        <v>44</v>
      </c>
      <c r="K39" s="74" t="s">
        <v>90</v>
      </c>
      <c r="L39" s="74" t="s">
        <v>91</v>
      </c>
      <c r="M39" s="74" t="s">
        <v>90</v>
      </c>
      <c r="N39" s="74" t="s">
        <v>92</v>
      </c>
      <c r="O39" s="75" t="s">
        <v>385</v>
      </c>
      <c r="P39" s="73" t="s">
        <v>169</v>
      </c>
      <c r="Q39" s="74" t="s">
        <v>94</v>
      </c>
      <c r="R39" s="74" t="s">
        <v>90</v>
      </c>
      <c r="S39" s="75" t="s">
        <v>385</v>
      </c>
      <c r="T39" s="73" t="s">
        <v>169</v>
      </c>
      <c r="U39" s="74" t="s">
        <v>95</v>
      </c>
      <c r="V39" s="74" t="s">
        <v>90</v>
      </c>
      <c r="W39" s="75" t="s">
        <v>385</v>
      </c>
      <c r="X39" s="303" t="s">
        <v>169</v>
      </c>
      <c r="Y39" s="74" t="s">
        <v>96</v>
      </c>
      <c r="Z39" s="74" t="s">
        <v>90</v>
      </c>
      <c r="AA39" s="75" t="s">
        <v>385</v>
      </c>
      <c r="AB39" s="184" t="s">
        <v>385</v>
      </c>
    </row>
    <row r="40" spans="1:28" ht="24.75" customHeight="1" x14ac:dyDescent="0.2">
      <c r="A40" s="4">
        <v>40</v>
      </c>
      <c r="B40" s="166" t="s">
        <v>40</v>
      </c>
      <c r="C40" s="78" t="s">
        <v>222</v>
      </c>
      <c r="D40" s="151" t="s">
        <v>44</v>
      </c>
      <c r="E40" s="77" t="s">
        <v>47</v>
      </c>
      <c r="F40" s="77" t="s">
        <v>27</v>
      </c>
      <c r="G40" s="77" t="s">
        <v>48</v>
      </c>
      <c r="H40" s="78" t="s">
        <v>49</v>
      </c>
      <c r="I40" s="76" t="s">
        <v>102</v>
      </c>
      <c r="J40" s="77" t="s">
        <v>97</v>
      </c>
      <c r="K40" s="77" t="s">
        <v>98</v>
      </c>
      <c r="L40" s="623" t="s">
        <v>571</v>
      </c>
      <c r="M40" s="77" t="s">
        <v>100</v>
      </c>
      <c r="N40" s="77" t="s">
        <v>101</v>
      </c>
      <c r="O40" s="153" t="s">
        <v>102</v>
      </c>
      <c r="P40" s="76" t="s">
        <v>94</v>
      </c>
      <c r="Q40" s="77" t="s">
        <v>97</v>
      </c>
      <c r="R40" s="77" t="s">
        <v>98</v>
      </c>
      <c r="S40" s="78" t="s">
        <v>94</v>
      </c>
      <c r="T40" s="76" t="s">
        <v>103</v>
      </c>
      <c r="U40" s="77" t="s">
        <v>97</v>
      </c>
      <c r="V40" s="77" t="s">
        <v>98</v>
      </c>
      <c r="W40" s="78" t="s">
        <v>103</v>
      </c>
      <c r="X40" s="249" t="s">
        <v>104</v>
      </c>
      <c r="Y40" s="77" t="s">
        <v>97</v>
      </c>
      <c r="Z40" s="77" t="s">
        <v>98</v>
      </c>
      <c r="AA40" s="78" t="s">
        <v>104</v>
      </c>
      <c r="AB40" s="185" t="s">
        <v>105</v>
      </c>
    </row>
    <row r="41" spans="1:28" ht="26.25" customHeight="1" x14ac:dyDescent="0.2">
      <c r="A41" s="4">
        <v>41</v>
      </c>
      <c r="B41" s="166"/>
      <c r="C41" s="285" t="s">
        <v>41</v>
      </c>
      <c r="D41" s="151" t="s">
        <v>53</v>
      </c>
      <c r="E41" s="77" t="s">
        <v>53</v>
      </c>
      <c r="F41" s="77" t="s">
        <v>53</v>
      </c>
      <c r="G41" s="77" t="s">
        <v>53</v>
      </c>
      <c r="H41" s="78" t="s">
        <v>196</v>
      </c>
      <c r="I41" s="76" t="s">
        <v>114</v>
      </c>
      <c r="J41" s="79" t="s">
        <v>387</v>
      </c>
      <c r="K41" s="77" t="s">
        <v>111</v>
      </c>
      <c r="L41" s="624"/>
      <c r="M41" s="77" t="s">
        <v>111</v>
      </c>
      <c r="N41" s="77" t="s">
        <v>113</v>
      </c>
      <c r="O41" s="153" t="s">
        <v>114</v>
      </c>
      <c r="P41" s="76" t="s">
        <v>115</v>
      </c>
      <c r="Q41" s="79" t="s">
        <v>387</v>
      </c>
      <c r="R41" s="77" t="s">
        <v>111</v>
      </c>
      <c r="S41" s="78" t="s">
        <v>115</v>
      </c>
      <c r="T41" s="76" t="s">
        <v>114</v>
      </c>
      <c r="U41" s="79" t="s">
        <v>387</v>
      </c>
      <c r="V41" s="77" t="s">
        <v>111</v>
      </c>
      <c r="W41" s="78" t="s">
        <v>114</v>
      </c>
      <c r="X41" s="249" t="s">
        <v>115</v>
      </c>
      <c r="Y41" s="79" t="s">
        <v>387</v>
      </c>
      <c r="Z41" s="77" t="s">
        <v>111</v>
      </c>
      <c r="AA41" s="78" t="s">
        <v>115</v>
      </c>
      <c r="AB41" s="185" t="s">
        <v>57</v>
      </c>
    </row>
    <row r="42" spans="1:28" ht="18" customHeight="1" x14ac:dyDescent="0.2">
      <c r="A42" s="4">
        <v>42</v>
      </c>
      <c r="B42" s="167"/>
      <c r="C42" s="293" t="s">
        <v>50</v>
      </c>
      <c r="D42" s="162"/>
      <c r="E42" s="80"/>
      <c r="F42" s="80"/>
      <c r="G42" s="80"/>
      <c r="H42" s="97"/>
      <c r="I42" s="83"/>
      <c r="J42" s="81"/>
      <c r="K42" s="81"/>
      <c r="L42" s="81"/>
      <c r="M42" s="81"/>
      <c r="N42" s="81"/>
      <c r="O42" s="82"/>
      <c r="P42" s="83"/>
      <c r="Q42" s="81"/>
      <c r="R42" s="81"/>
      <c r="S42" s="82"/>
      <c r="T42" s="83"/>
      <c r="U42" s="81"/>
      <c r="V42" s="81"/>
      <c r="W42" s="82"/>
      <c r="X42" s="304"/>
      <c r="Y42" s="81"/>
      <c r="Z42" s="81"/>
      <c r="AA42" s="82"/>
      <c r="AB42" s="186"/>
    </row>
    <row r="43" spans="1:28" ht="18" customHeight="1" x14ac:dyDescent="0.2">
      <c r="A43" s="4">
        <v>43</v>
      </c>
      <c r="B43" s="380" t="str">
        <f>'D1. Member Months'!B$10</f>
        <v>Nursing Home Level of Care</v>
      </c>
      <c r="C43" s="168">
        <f>'D1. Member Months'!D$10</f>
        <v>436922.1</v>
      </c>
      <c r="D43" s="84">
        <f>O30</f>
        <v>3135.2886768993676</v>
      </c>
      <c r="E43" s="84">
        <f>S30</f>
        <v>0</v>
      </c>
      <c r="F43" s="85">
        <f>W30</f>
        <v>0</v>
      </c>
      <c r="G43" s="85">
        <f>AA30</f>
        <v>121.17197143201784</v>
      </c>
      <c r="H43" s="159">
        <f>AB30</f>
        <v>3256.4606483313855</v>
      </c>
      <c r="I43" s="154">
        <f>D43</f>
        <v>3135.2886768993676</v>
      </c>
      <c r="J43" s="388">
        <v>2.9105254632176284E-2</v>
      </c>
      <c r="K43" s="85">
        <f>J43*I43</f>
        <v>91.253375286535174</v>
      </c>
      <c r="L43" s="388">
        <v>-3.9077465664933324E-3</v>
      </c>
      <c r="M43" s="85">
        <f>(I43+K43)*(L43)</f>
        <v>-12.608508626075812</v>
      </c>
      <c r="N43" s="85">
        <f>K43+M43</f>
        <v>78.644866660459357</v>
      </c>
      <c r="O43" s="155">
        <f>N43+I43</f>
        <v>3213.9335435598268</v>
      </c>
      <c r="P43" s="154">
        <f>E43</f>
        <v>0</v>
      </c>
      <c r="Q43" s="388"/>
      <c r="R43" s="85">
        <f>Q43*P43</f>
        <v>0</v>
      </c>
      <c r="S43" s="181">
        <f>P43+R43</f>
        <v>0</v>
      </c>
      <c r="T43" s="154">
        <f>F43</f>
        <v>0</v>
      </c>
      <c r="U43" s="388"/>
      <c r="V43" s="85">
        <f>T43*U43</f>
        <v>0</v>
      </c>
      <c r="W43" s="181">
        <f>V43+T43</f>
        <v>0</v>
      </c>
      <c r="X43" s="154">
        <f>G43</f>
        <v>121.17197143201784</v>
      </c>
      <c r="Y43" s="388">
        <v>2.9105254632176284E-2</v>
      </c>
      <c r="Z43" s="85">
        <f>Y43*X43</f>
        <v>3.5267410828116694</v>
      </c>
      <c r="AA43" s="181">
        <f>Z43+X43</f>
        <v>124.69871251482951</v>
      </c>
      <c r="AB43" s="187">
        <f>AA43+W43+S43+O43</f>
        <v>3338.6322560746562</v>
      </c>
    </row>
    <row r="44" spans="1:28" ht="18" customHeight="1" x14ac:dyDescent="0.2">
      <c r="A44" s="4">
        <v>44</v>
      </c>
      <c r="B44" s="380" t="str">
        <f>'D1. Member Months'!B$11</f>
        <v>Non-Nursing Home Level of Care</v>
      </c>
      <c r="C44" s="168">
        <f>'D1. Member Months'!D$11</f>
        <v>15335.830000000002</v>
      </c>
      <c r="D44" s="84">
        <f>O31</f>
        <v>598.23730427105954</v>
      </c>
      <c r="E44" s="84">
        <f>S31</f>
        <v>0</v>
      </c>
      <c r="F44" s="85">
        <f>W31</f>
        <v>0</v>
      </c>
      <c r="G44" s="85">
        <f>AA31</f>
        <v>24.028641934116159</v>
      </c>
      <c r="H44" s="159">
        <f>AB31</f>
        <v>622.26594620517574</v>
      </c>
      <c r="I44" s="154">
        <f>D44</f>
        <v>598.23730427105954</v>
      </c>
      <c r="J44" s="388">
        <v>2.9105254632176308E-2</v>
      </c>
      <c r="K44" s="85">
        <f>J44*I44</f>
        <v>17.411849071275924</v>
      </c>
      <c r="L44" s="388">
        <v>-1.1492921551944947E-3</v>
      </c>
      <c r="M44" s="85">
        <f>(I44+K44)*(L44)</f>
        <v>-0.70756074228847865</v>
      </c>
      <c r="N44" s="85">
        <f>K44+M44</f>
        <v>16.704288328987445</v>
      </c>
      <c r="O44" s="155">
        <f>N44+I44</f>
        <v>614.94159260004699</v>
      </c>
      <c r="P44" s="154">
        <f>E44</f>
        <v>0</v>
      </c>
      <c r="Q44" s="388"/>
      <c r="R44" s="85">
        <f>Q44*P44</f>
        <v>0</v>
      </c>
      <c r="S44" s="181">
        <f>P44+R44</f>
        <v>0</v>
      </c>
      <c r="T44" s="154">
        <f>F44</f>
        <v>0</v>
      </c>
      <c r="U44" s="388"/>
      <c r="V44" s="85">
        <f>T44*U44</f>
        <v>0</v>
      </c>
      <c r="W44" s="181">
        <f>V44+T44</f>
        <v>0</v>
      </c>
      <c r="X44" s="154">
        <f>G44</f>
        <v>24.028641934116159</v>
      </c>
      <c r="Y44" s="388">
        <v>2.9105254632176308E-2</v>
      </c>
      <c r="Z44" s="85">
        <f>Y44*X44</f>
        <v>0.69935974195784023</v>
      </c>
      <c r="AA44" s="181">
        <f>Z44+X44</f>
        <v>24.728001676073998</v>
      </c>
      <c r="AB44" s="187">
        <f>AA44+W44+S44+O44</f>
        <v>639.66959427612096</v>
      </c>
    </row>
    <row r="45" spans="1:28" ht="18" customHeight="1" x14ac:dyDescent="0.2">
      <c r="A45" s="4">
        <v>45</v>
      </c>
      <c r="B45" s="380"/>
      <c r="C45" s="168"/>
      <c r="D45" s="84"/>
      <c r="E45" s="84"/>
      <c r="F45" s="85"/>
      <c r="G45" s="85"/>
      <c r="H45" s="159"/>
      <c r="I45" s="154"/>
      <c r="J45" s="389"/>
      <c r="K45" s="85"/>
      <c r="L45" s="389"/>
      <c r="M45" s="85"/>
      <c r="N45" s="85"/>
      <c r="O45" s="155"/>
      <c r="P45" s="154"/>
      <c r="Q45" s="388"/>
      <c r="R45" s="85"/>
      <c r="S45" s="181"/>
      <c r="T45" s="154"/>
      <c r="U45" s="388"/>
      <c r="V45" s="85"/>
      <c r="W45" s="181"/>
      <c r="X45" s="154"/>
      <c r="Y45" s="388"/>
      <c r="Z45" s="85"/>
      <c r="AA45" s="181"/>
      <c r="AB45" s="187"/>
    </row>
    <row r="46" spans="1:28" ht="18" customHeight="1" thickBot="1" x14ac:dyDescent="0.25">
      <c r="A46" s="4">
        <v>46</v>
      </c>
      <c r="B46" s="380"/>
      <c r="C46" s="168"/>
      <c r="D46" s="84"/>
      <c r="E46" s="84"/>
      <c r="F46" s="85"/>
      <c r="G46" s="85"/>
      <c r="H46" s="159"/>
      <c r="I46" s="179"/>
      <c r="J46" s="390"/>
      <c r="K46" s="177"/>
      <c r="L46" s="390"/>
      <c r="M46" s="177"/>
      <c r="N46" s="177"/>
      <c r="O46" s="180"/>
      <c r="P46" s="179"/>
      <c r="Q46" s="391"/>
      <c r="R46" s="177"/>
      <c r="S46" s="182"/>
      <c r="T46" s="179"/>
      <c r="U46" s="391"/>
      <c r="V46" s="177"/>
      <c r="W46" s="182"/>
      <c r="X46" s="179"/>
      <c r="Y46" s="391"/>
      <c r="Z46" s="177"/>
      <c r="AA46" s="182"/>
      <c r="AB46" s="188"/>
    </row>
    <row r="47" spans="1:28" ht="18" customHeight="1" thickTop="1" x14ac:dyDescent="0.2">
      <c r="A47" s="4">
        <v>47</v>
      </c>
      <c r="B47" s="412" t="s">
        <v>125</v>
      </c>
      <c r="C47" s="169">
        <f>SUM(C43:C46)</f>
        <v>452257.93</v>
      </c>
      <c r="D47" s="170"/>
      <c r="E47" s="171"/>
      <c r="F47" s="171"/>
      <c r="G47" s="171"/>
      <c r="H47" s="172"/>
      <c r="I47" s="173"/>
      <c r="J47" s="171"/>
      <c r="K47" s="171"/>
      <c r="L47" s="171"/>
      <c r="M47" s="174"/>
      <c r="N47" s="195"/>
      <c r="O47" s="196"/>
      <c r="P47" s="173"/>
      <c r="Q47" s="175"/>
      <c r="R47" s="195"/>
      <c r="S47" s="197"/>
      <c r="T47" s="173"/>
      <c r="U47" s="175"/>
      <c r="V47" s="195"/>
      <c r="W47" s="197"/>
      <c r="X47" s="173"/>
      <c r="Y47" s="175"/>
      <c r="Z47" s="195"/>
      <c r="AA47" s="197"/>
      <c r="AB47" s="189"/>
    </row>
    <row r="48" spans="1:28" ht="18" customHeight="1" thickBot="1" x14ac:dyDescent="0.25">
      <c r="A48" s="4">
        <v>48</v>
      </c>
      <c r="B48" s="255" t="s">
        <v>382</v>
      </c>
      <c r="C48" s="198"/>
      <c r="D48" s="163">
        <f>O35</f>
        <v>3049.2585910324501</v>
      </c>
      <c r="E48" s="157">
        <f>S35</f>
        <v>0</v>
      </c>
      <c r="F48" s="157">
        <f>W35</f>
        <v>0</v>
      </c>
      <c r="G48" s="157">
        <f>AA35</f>
        <v>117.87789190794226</v>
      </c>
      <c r="H48" s="161">
        <f>AB35</f>
        <v>3167.1364829403924</v>
      </c>
      <c r="I48" s="160">
        <f>D48</f>
        <v>3049.2585910324501</v>
      </c>
      <c r="J48" s="156">
        <f>IF(I48=0,0,K48/I48)</f>
        <v>2.9105254632176281E-2</v>
      </c>
      <c r="K48" s="157">
        <f>SUMPRODUCT(K43:K46,$C43:$C46)/$C47</f>
        <v>88.749447731350543</v>
      </c>
      <c r="L48" s="156">
        <f>M48/(I48+K48)</f>
        <v>-3.8893952958328538E-3</v>
      </c>
      <c r="M48" s="157">
        <f>SUMPRODUCT(M43:M46,$C43:$C46)/$C47</f>
        <v>-12.204953704253606</v>
      </c>
      <c r="N48" s="157">
        <f>K48+M48</f>
        <v>76.544494027096931</v>
      </c>
      <c r="O48" s="199">
        <f>N48+I48</f>
        <v>3125.8030850595469</v>
      </c>
      <c r="P48" s="160">
        <f>E48</f>
        <v>0</v>
      </c>
      <c r="Q48" s="156">
        <f>IF(P48=0,0,R48/P48)</f>
        <v>0</v>
      </c>
      <c r="R48" s="157">
        <f>SUMPRODUCT(R43:R46,$C43:$C46)/$C47</f>
        <v>0</v>
      </c>
      <c r="S48" s="200">
        <f>P48+R48</f>
        <v>0</v>
      </c>
      <c r="T48" s="160">
        <f>F48</f>
        <v>0</v>
      </c>
      <c r="U48" s="156">
        <f>IF(T48=0,0,V48/T48)</f>
        <v>0</v>
      </c>
      <c r="V48" s="157">
        <f>SUMPRODUCT(V43:V46,$C43:$C46)/$C47</f>
        <v>0</v>
      </c>
      <c r="W48" s="200">
        <f>V48+T48</f>
        <v>0</v>
      </c>
      <c r="X48" s="160">
        <f>G48</f>
        <v>117.87789190794226</v>
      </c>
      <c r="Y48" s="156">
        <f>IF(X48=0,0,Z48/X48)</f>
        <v>2.9105254632176281E-2</v>
      </c>
      <c r="Z48" s="157">
        <f>SUMPRODUCT(Z43:Z46,$C43:$C46)/$C47</f>
        <v>3.4308660594848113</v>
      </c>
      <c r="AA48" s="200">
        <f>Z48+X48</f>
        <v>121.30875796742707</v>
      </c>
      <c r="AB48" s="190">
        <f>AA48+W48+S48+O48</f>
        <v>3247.1118430269739</v>
      </c>
    </row>
    <row r="49" spans="1:28" x14ac:dyDescent="0.2">
      <c r="A49" s="4">
        <v>49</v>
      </c>
      <c r="J49" s="86"/>
      <c r="K49" s="86"/>
    </row>
    <row r="50" spans="1:28" x14ac:dyDescent="0.2">
      <c r="A50" s="4">
        <v>50</v>
      </c>
      <c r="J50" s="86"/>
      <c r="K50" s="86"/>
    </row>
    <row r="51" spans="1:28" ht="12" thickBot="1" x14ac:dyDescent="0.25">
      <c r="A51" s="4">
        <v>51</v>
      </c>
      <c r="J51" s="86"/>
      <c r="K51" s="86"/>
    </row>
    <row r="52" spans="1:28" ht="18" customHeight="1" x14ac:dyDescent="0.2">
      <c r="A52" s="4">
        <v>52</v>
      </c>
      <c r="B52" s="164"/>
      <c r="C52" s="165"/>
      <c r="D52" s="67" t="s">
        <v>394</v>
      </c>
      <c r="E52" s="67"/>
      <c r="F52" s="67"/>
      <c r="G52" s="67"/>
      <c r="H52" s="68"/>
      <c r="I52" s="69" t="s">
        <v>395</v>
      </c>
      <c r="J52" s="69"/>
      <c r="K52" s="69"/>
      <c r="L52" s="69"/>
      <c r="M52" s="69"/>
      <c r="N52" s="69"/>
      <c r="O52" s="152"/>
      <c r="P52" s="69" t="s">
        <v>397</v>
      </c>
      <c r="Q52" s="69"/>
      <c r="R52" s="70"/>
      <c r="S52" s="71"/>
      <c r="T52" s="69" t="s">
        <v>399</v>
      </c>
      <c r="U52" s="69"/>
      <c r="V52" s="70"/>
      <c r="W52" s="71"/>
      <c r="X52" s="69" t="s">
        <v>400</v>
      </c>
      <c r="Y52" s="69"/>
      <c r="Z52" s="70"/>
      <c r="AA52" s="71"/>
      <c r="AB52" s="183"/>
    </row>
    <row r="53" spans="1:28" ht="24" customHeight="1" x14ac:dyDescent="0.2">
      <c r="A53" s="4">
        <v>53</v>
      </c>
      <c r="B53" s="166" t="s">
        <v>38</v>
      </c>
      <c r="C53" s="78" t="s">
        <v>221</v>
      </c>
      <c r="D53" s="150" t="s">
        <v>393</v>
      </c>
      <c r="E53" s="150" t="s">
        <v>393</v>
      </c>
      <c r="F53" s="150" t="s">
        <v>393</v>
      </c>
      <c r="G53" s="150" t="s">
        <v>393</v>
      </c>
      <c r="H53" s="150" t="s">
        <v>393</v>
      </c>
      <c r="I53" s="73" t="s">
        <v>393</v>
      </c>
      <c r="J53" s="74" t="s">
        <v>44</v>
      </c>
      <c r="K53" s="74" t="s">
        <v>90</v>
      </c>
      <c r="L53" s="74" t="s">
        <v>91</v>
      </c>
      <c r="M53" s="74" t="s">
        <v>90</v>
      </c>
      <c r="N53" s="74" t="s">
        <v>92</v>
      </c>
      <c r="O53" s="75" t="s">
        <v>396</v>
      </c>
      <c r="P53" s="73" t="s">
        <v>393</v>
      </c>
      <c r="Q53" s="74" t="s">
        <v>94</v>
      </c>
      <c r="R53" s="74" t="s">
        <v>90</v>
      </c>
      <c r="S53" s="75" t="s">
        <v>396</v>
      </c>
      <c r="T53" s="73" t="s">
        <v>393</v>
      </c>
      <c r="U53" s="74" t="s">
        <v>95</v>
      </c>
      <c r="V53" s="74" t="s">
        <v>90</v>
      </c>
      <c r="W53" s="75" t="s">
        <v>396</v>
      </c>
      <c r="X53" s="303" t="s">
        <v>393</v>
      </c>
      <c r="Y53" s="74" t="s">
        <v>96</v>
      </c>
      <c r="Z53" s="74" t="s">
        <v>90</v>
      </c>
      <c r="AA53" s="75" t="s">
        <v>396</v>
      </c>
      <c r="AB53" s="184" t="s">
        <v>396</v>
      </c>
    </row>
    <row r="54" spans="1:28" ht="25.5" customHeight="1" x14ac:dyDescent="0.2">
      <c r="A54" s="4">
        <v>54</v>
      </c>
      <c r="B54" s="166" t="s">
        <v>40</v>
      </c>
      <c r="C54" s="78" t="s">
        <v>222</v>
      </c>
      <c r="D54" s="151" t="s">
        <v>44</v>
      </c>
      <c r="E54" s="77" t="s">
        <v>47</v>
      </c>
      <c r="F54" s="77" t="s">
        <v>27</v>
      </c>
      <c r="G54" s="77" t="s">
        <v>48</v>
      </c>
      <c r="H54" s="78" t="s">
        <v>49</v>
      </c>
      <c r="I54" s="76" t="s">
        <v>102</v>
      </c>
      <c r="J54" s="77" t="s">
        <v>97</v>
      </c>
      <c r="K54" s="77" t="s">
        <v>98</v>
      </c>
      <c r="L54" s="77" t="s">
        <v>99</v>
      </c>
      <c r="M54" s="77" t="s">
        <v>100</v>
      </c>
      <c r="N54" s="77" t="s">
        <v>101</v>
      </c>
      <c r="O54" s="153" t="s">
        <v>102</v>
      </c>
      <c r="P54" s="76" t="s">
        <v>94</v>
      </c>
      <c r="Q54" s="77" t="s">
        <v>97</v>
      </c>
      <c r="R54" s="77" t="s">
        <v>98</v>
      </c>
      <c r="S54" s="78" t="s">
        <v>94</v>
      </c>
      <c r="T54" s="76" t="s">
        <v>103</v>
      </c>
      <c r="U54" s="77" t="s">
        <v>97</v>
      </c>
      <c r="V54" s="77" t="s">
        <v>98</v>
      </c>
      <c r="W54" s="78" t="s">
        <v>103</v>
      </c>
      <c r="X54" s="249" t="s">
        <v>104</v>
      </c>
      <c r="Y54" s="77" t="s">
        <v>97</v>
      </c>
      <c r="Z54" s="77" t="s">
        <v>98</v>
      </c>
      <c r="AA54" s="78" t="s">
        <v>104</v>
      </c>
      <c r="AB54" s="185" t="s">
        <v>105</v>
      </c>
    </row>
    <row r="55" spans="1:28" ht="22.5" customHeight="1" x14ac:dyDescent="0.2">
      <c r="A55" s="4">
        <v>55</v>
      </c>
      <c r="B55" s="166"/>
      <c r="C55" s="285" t="s">
        <v>41</v>
      </c>
      <c r="D55" s="151" t="s">
        <v>53</v>
      </c>
      <c r="E55" s="77" t="s">
        <v>53</v>
      </c>
      <c r="F55" s="77" t="s">
        <v>53</v>
      </c>
      <c r="G55" s="77" t="s">
        <v>53</v>
      </c>
      <c r="H55" s="78" t="s">
        <v>196</v>
      </c>
      <c r="I55" s="76" t="s">
        <v>114</v>
      </c>
      <c r="J55" s="79" t="s">
        <v>398</v>
      </c>
      <c r="K55" s="77" t="s">
        <v>111</v>
      </c>
      <c r="L55" s="77" t="s">
        <v>112</v>
      </c>
      <c r="M55" s="77" t="s">
        <v>111</v>
      </c>
      <c r="N55" s="77" t="s">
        <v>113</v>
      </c>
      <c r="O55" s="153" t="s">
        <v>114</v>
      </c>
      <c r="P55" s="76" t="s">
        <v>115</v>
      </c>
      <c r="Q55" s="79" t="s">
        <v>398</v>
      </c>
      <c r="R55" s="77" t="s">
        <v>111</v>
      </c>
      <c r="S55" s="78" t="s">
        <v>115</v>
      </c>
      <c r="T55" s="76" t="s">
        <v>114</v>
      </c>
      <c r="U55" s="79" t="s">
        <v>398</v>
      </c>
      <c r="V55" s="77" t="s">
        <v>111</v>
      </c>
      <c r="W55" s="78" t="s">
        <v>114</v>
      </c>
      <c r="X55" s="249" t="s">
        <v>115</v>
      </c>
      <c r="Y55" s="79" t="s">
        <v>398</v>
      </c>
      <c r="Z55" s="77" t="s">
        <v>111</v>
      </c>
      <c r="AA55" s="78" t="s">
        <v>115</v>
      </c>
      <c r="AB55" s="185" t="s">
        <v>57</v>
      </c>
    </row>
    <row r="56" spans="1:28" ht="22.5" customHeight="1" x14ac:dyDescent="0.2">
      <c r="A56" s="4">
        <v>56</v>
      </c>
      <c r="B56" s="167"/>
      <c r="C56" s="293" t="s">
        <v>50</v>
      </c>
      <c r="D56" s="162"/>
      <c r="E56" s="80"/>
      <c r="F56" s="80"/>
      <c r="G56" s="80"/>
      <c r="H56" s="97"/>
      <c r="I56" s="83"/>
      <c r="J56" s="81"/>
      <c r="K56" s="81"/>
      <c r="L56" s="81"/>
      <c r="M56" s="81"/>
      <c r="N56" s="81"/>
      <c r="O56" s="82"/>
      <c r="P56" s="83"/>
      <c r="Q56" s="81"/>
      <c r="R56" s="81"/>
      <c r="S56" s="82"/>
      <c r="T56" s="83"/>
      <c r="U56" s="81"/>
      <c r="V56" s="81"/>
      <c r="W56" s="82"/>
      <c r="X56" s="304"/>
      <c r="Y56" s="81"/>
      <c r="Z56" s="81"/>
      <c r="AA56" s="82"/>
      <c r="AB56" s="186"/>
    </row>
    <row r="57" spans="1:28" ht="18" customHeight="1" x14ac:dyDescent="0.2">
      <c r="A57" s="4">
        <v>57</v>
      </c>
      <c r="B57" s="380" t="str">
        <f>'D1. Member Months'!B$10</f>
        <v>Nursing Home Level of Care</v>
      </c>
      <c r="C57" s="168">
        <f>'D1. Member Months'!D$10</f>
        <v>436922.1</v>
      </c>
      <c r="D57" s="84">
        <f>O43</f>
        <v>3213.9335435598268</v>
      </c>
      <c r="E57" s="84">
        <f>S43</f>
        <v>0</v>
      </c>
      <c r="F57" s="85">
        <f>W43</f>
        <v>0</v>
      </c>
      <c r="G57" s="85">
        <f>AA43</f>
        <v>124.69871251482951</v>
      </c>
      <c r="H57" s="159">
        <f>AB43</f>
        <v>3338.6322560746562</v>
      </c>
      <c r="I57" s="154">
        <f>D57</f>
        <v>3213.9335435598268</v>
      </c>
      <c r="J57" s="388">
        <v>2.9114322875431666E-2</v>
      </c>
      <c r="K57" s="85">
        <f>J57*I57</f>
        <v>93.571498887381026</v>
      </c>
      <c r="L57" s="388">
        <v>8.9556334745258964E-4</v>
      </c>
      <c r="M57" s="85">
        <f>(I57+K57)*(L57)</f>
        <v>2.9620802875303411</v>
      </c>
      <c r="N57" s="85">
        <f>K57+M57</f>
        <v>96.533579174911367</v>
      </c>
      <c r="O57" s="155">
        <f>N57+I57</f>
        <v>3310.467122734738</v>
      </c>
      <c r="P57" s="154">
        <f>E57</f>
        <v>0</v>
      </c>
      <c r="Q57" s="388"/>
      <c r="R57" s="85">
        <f>Q57*P57</f>
        <v>0</v>
      </c>
      <c r="S57" s="181">
        <f>P57+R57</f>
        <v>0</v>
      </c>
      <c r="T57" s="154">
        <f>F57</f>
        <v>0</v>
      </c>
      <c r="U57" s="388"/>
      <c r="V57" s="85">
        <f>T57*U57</f>
        <v>0</v>
      </c>
      <c r="W57" s="181">
        <f>V57+T57</f>
        <v>0</v>
      </c>
      <c r="X57" s="154">
        <f>G57</f>
        <v>124.69871251482951</v>
      </c>
      <c r="Y57" s="388">
        <v>2.9114322875431666E-2</v>
      </c>
      <c r="Z57" s="85">
        <f>Y57*X57</f>
        <v>3.6305185783073779</v>
      </c>
      <c r="AA57" s="181">
        <f>Z57+X57</f>
        <v>128.32923109313688</v>
      </c>
      <c r="AB57" s="187">
        <f>AA57+W57+S57+O57</f>
        <v>3438.796353827875</v>
      </c>
    </row>
    <row r="58" spans="1:28" ht="18" customHeight="1" x14ac:dyDescent="0.2">
      <c r="A58" s="4">
        <v>58</v>
      </c>
      <c r="B58" s="380" t="str">
        <f>'D1. Member Months'!B$11</f>
        <v>Non-Nursing Home Level of Care</v>
      </c>
      <c r="C58" s="168">
        <f>'D1. Member Months'!D$11</f>
        <v>15335.830000000002</v>
      </c>
      <c r="D58" s="84">
        <f>O44</f>
        <v>614.94159260004699</v>
      </c>
      <c r="E58" s="84">
        <f>S44</f>
        <v>0</v>
      </c>
      <c r="F58" s="85">
        <f>W44</f>
        <v>0</v>
      </c>
      <c r="G58" s="85">
        <f>AA44</f>
        <v>24.728001676073998</v>
      </c>
      <c r="H58" s="159">
        <f>AB44</f>
        <v>639.66959427612096</v>
      </c>
      <c r="I58" s="154">
        <f>D58</f>
        <v>614.94159260004699</v>
      </c>
      <c r="J58" s="388">
        <v>2.911432287543151E-2</v>
      </c>
      <c r="K58" s="85">
        <f>J58*I58</f>
        <v>17.903608076489832</v>
      </c>
      <c r="L58" s="388">
        <v>-1.1455060094544124E-3</v>
      </c>
      <c r="M58" s="85">
        <f>(I58+K58)*(L58)</f>
        <v>-0.72492798042935647</v>
      </c>
      <c r="N58" s="85">
        <f>K58+M58</f>
        <v>17.178680096060475</v>
      </c>
      <c r="O58" s="155">
        <f>N58+I58</f>
        <v>632.12027269610746</v>
      </c>
      <c r="P58" s="154">
        <f>E58</f>
        <v>0</v>
      </c>
      <c r="Q58" s="388"/>
      <c r="R58" s="85">
        <f>Q58*P58</f>
        <v>0</v>
      </c>
      <c r="S58" s="181">
        <f>P58+R58</f>
        <v>0</v>
      </c>
      <c r="T58" s="154">
        <f>F58</f>
        <v>0</v>
      </c>
      <c r="U58" s="388"/>
      <c r="V58" s="85">
        <f>T58*U58</f>
        <v>0</v>
      </c>
      <c r="W58" s="181">
        <f>V58+T58</f>
        <v>0</v>
      </c>
      <c r="X58" s="154">
        <f>G58</f>
        <v>24.728001676073998</v>
      </c>
      <c r="Y58" s="388">
        <v>2.911432287543151E-2</v>
      </c>
      <c r="Z58" s="85">
        <f>Y58*X58</f>
        <v>0.71993902486142991</v>
      </c>
      <c r="AA58" s="181">
        <f>Z58+X58</f>
        <v>25.447940700935426</v>
      </c>
      <c r="AB58" s="187">
        <f>AA58+W58+S58+O58</f>
        <v>657.56821339704288</v>
      </c>
    </row>
    <row r="59" spans="1:28" ht="18" customHeight="1" x14ac:dyDescent="0.2">
      <c r="A59" s="4">
        <v>59</v>
      </c>
      <c r="B59" s="380"/>
      <c r="C59" s="168"/>
      <c r="D59" s="84"/>
      <c r="E59" s="84"/>
      <c r="F59" s="85"/>
      <c r="G59" s="85"/>
      <c r="H59" s="159"/>
      <c r="I59" s="154"/>
      <c r="J59" s="389"/>
      <c r="K59" s="85"/>
      <c r="L59" s="389"/>
      <c r="M59" s="85"/>
      <c r="N59" s="85"/>
      <c r="O59" s="155"/>
      <c r="P59" s="154"/>
      <c r="Q59" s="388"/>
      <c r="R59" s="85"/>
      <c r="S59" s="181"/>
      <c r="T59" s="154"/>
      <c r="U59" s="388"/>
      <c r="V59" s="85"/>
      <c r="W59" s="181"/>
      <c r="X59" s="154"/>
      <c r="Y59" s="388"/>
      <c r="Z59" s="85"/>
      <c r="AA59" s="181"/>
      <c r="AB59" s="187"/>
    </row>
    <row r="60" spans="1:28" ht="18" customHeight="1" thickBot="1" x14ac:dyDescent="0.25">
      <c r="A60" s="4">
        <v>60</v>
      </c>
      <c r="B60" s="380"/>
      <c r="C60" s="168"/>
      <c r="D60" s="84"/>
      <c r="E60" s="84"/>
      <c r="F60" s="85"/>
      <c r="G60" s="85"/>
      <c r="H60" s="159"/>
      <c r="I60" s="179"/>
      <c r="J60" s="390"/>
      <c r="K60" s="177"/>
      <c r="L60" s="390"/>
      <c r="M60" s="177"/>
      <c r="N60" s="177"/>
      <c r="O60" s="180"/>
      <c r="P60" s="179"/>
      <c r="Q60" s="391"/>
      <c r="R60" s="177"/>
      <c r="S60" s="182"/>
      <c r="T60" s="179"/>
      <c r="U60" s="391"/>
      <c r="V60" s="177"/>
      <c r="W60" s="182"/>
      <c r="X60" s="179"/>
      <c r="Y60" s="391"/>
      <c r="Z60" s="177"/>
      <c r="AA60" s="182"/>
      <c r="AB60" s="188"/>
    </row>
    <row r="61" spans="1:28" ht="18" customHeight="1" thickTop="1" x14ac:dyDescent="0.2">
      <c r="A61" s="4">
        <v>61</v>
      </c>
      <c r="B61" s="412" t="s">
        <v>125</v>
      </c>
      <c r="C61" s="169">
        <f>SUM(C57:C60)</f>
        <v>452257.93</v>
      </c>
      <c r="D61" s="170"/>
      <c r="E61" s="171"/>
      <c r="F61" s="171"/>
      <c r="G61" s="171"/>
      <c r="H61" s="172"/>
      <c r="I61" s="173"/>
      <c r="J61" s="171"/>
      <c r="K61" s="171"/>
      <c r="L61" s="171"/>
      <c r="M61" s="174"/>
      <c r="N61" s="195"/>
      <c r="O61" s="196"/>
      <c r="P61" s="173"/>
      <c r="Q61" s="175"/>
      <c r="R61" s="195"/>
      <c r="S61" s="197"/>
      <c r="T61" s="173"/>
      <c r="U61" s="175"/>
      <c r="V61" s="195"/>
      <c r="W61" s="197"/>
      <c r="X61" s="173"/>
      <c r="Y61" s="175"/>
      <c r="Z61" s="195"/>
      <c r="AA61" s="197"/>
      <c r="AB61" s="189"/>
    </row>
    <row r="62" spans="1:28" ht="18" customHeight="1" thickBot="1" x14ac:dyDescent="0.25">
      <c r="A62" s="4">
        <v>62</v>
      </c>
      <c r="B62" s="255" t="s">
        <v>390</v>
      </c>
      <c r="C62" s="198"/>
      <c r="D62" s="163">
        <f>O48</f>
        <v>3125.8030850595469</v>
      </c>
      <c r="E62" s="157">
        <f>S48</f>
        <v>0</v>
      </c>
      <c r="F62" s="157">
        <f>W48</f>
        <v>0</v>
      </c>
      <c r="G62" s="157">
        <f>AA48</f>
        <v>121.30875796742707</v>
      </c>
      <c r="H62" s="161">
        <f>AB48</f>
        <v>3247.1118430269739</v>
      </c>
      <c r="I62" s="160">
        <f>D62</f>
        <v>3125.8030850595469</v>
      </c>
      <c r="J62" s="156">
        <f>IF(I62=0,0,K62/I62)</f>
        <v>2.911432287543167E-2</v>
      </c>
      <c r="K62" s="157">
        <f>SUMPRODUCT(K57:K60,$C57:$C60)/$C61</f>
        <v>91.00564026344405</v>
      </c>
      <c r="L62" s="156">
        <f>M62/(I62+K62)</f>
        <v>8.8194729830214482E-4</v>
      </c>
      <c r="M62" s="157">
        <f>SUMPRODUCT(M57:M60,$C57:$C60)/$C61</f>
        <v>2.8370557644533783</v>
      </c>
      <c r="N62" s="157">
        <f>K62+M62</f>
        <v>93.842696027897432</v>
      </c>
      <c r="O62" s="199">
        <f>N62+I62</f>
        <v>3219.6457810874444</v>
      </c>
      <c r="P62" s="160">
        <f>E62</f>
        <v>0</v>
      </c>
      <c r="Q62" s="156">
        <f>IF(P62=0,0,R62/P62)</f>
        <v>0</v>
      </c>
      <c r="R62" s="157">
        <f>SUMPRODUCT(R57:R60,$C57:$C60)/$C61</f>
        <v>0</v>
      </c>
      <c r="S62" s="200">
        <f>P62+R62</f>
        <v>0</v>
      </c>
      <c r="T62" s="160">
        <f>F62</f>
        <v>0</v>
      </c>
      <c r="U62" s="156">
        <f>IF(T62=0,0,V62/T62)</f>
        <v>0</v>
      </c>
      <c r="V62" s="157">
        <f>SUMPRODUCT(V57:V60,$C57:$C60)/$C61</f>
        <v>0</v>
      </c>
      <c r="W62" s="200">
        <f>V62+T62</f>
        <v>0</v>
      </c>
      <c r="X62" s="160">
        <f>G62</f>
        <v>121.30875796742707</v>
      </c>
      <c r="Y62" s="156">
        <f>IF(X62=0,0,Z62/X62)</f>
        <v>2.9114322875431666E-2</v>
      </c>
      <c r="Z62" s="157">
        <f>SUMPRODUCT(Z57:Z60,$C57:$C60)/$C61</f>
        <v>3.5318223470812655</v>
      </c>
      <c r="AA62" s="200">
        <f>Z62+X62</f>
        <v>124.84058031450833</v>
      </c>
      <c r="AB62" s="190">
        <f>AA62+W62+S62+O62</f>
        <v>3344.4863614019528</v>
      </c>
    </row>
    <row r="63" spans="1:28" x14ac:dyDescent="0.2">
      <c r="A63" s="4">
        <v>63</v>
      </c>
      <c r="J63" s="86"/>
      <c r="K63" s="86"/>
    </row>
    <row r="64" spans="1:28" ht="12" thickBot="1" x14ac:dyDescent="0.25">
      <c r="A64" s="4">
        <v>64</v>
      </c>
      <c r="J64" s="86"/>
      <c r="K64" s="86"/>
    </row>
    <row r="65" spans="1:28" ht="18" customHeight="1" x14ac:dyDescent="0.2">
      <c r="A65" s="4">
        <v>65</v>
      </c>
      <c r="B65" s="164"/>
      <c r="C65" s="165"/>
      <c r="D65" s="67" t="s">
        <v>392</v>
      </c>
      <c r="E65" s="67"/>
      <c r="F65" s="67"/>
      <c r="G65" s="67"/>
      <c r="H65" s="68"/>
      <c r="I65" s="69" t="s">
        <v>406</v>
      </c>
      <c r="J65" s="69"/>
      <c r="K65" s="69"/>
      <c r="L65" s="69"/>
      <c r="M65" s="69"/>
      <c r="N65" s="69"/>
      <c r="O65" s="152"/>
      <c r="P65" s="69" t="s">
        <v>405</v>
      </c>
      <c r="Q65" s="69"/>
      <c r="R65" s="70"/>
      <c r="S65" s="71"/>
      <c r="T65" s="69" t="s">
        <v>404</v>
      </c>
      <c r="U65" s="69"/>
      <c r="V65" s="70"/>
      <c r="W65" s="71"/>
      <c r="X65" s="69" t="s">
        <v>401</v>
      </c>
      <c r="Y65" s="69"/>
      <c r="Z65" s="70"/>
      <c r="AA65" s="71"/>
      <c r="AB65" s="183"/>
    </row>
    <row r="66" spans="1:28" ht="24" customHeight="1" x14ac:dyDescent="0.2">
      <c r="A66" s="4">
        <v>66</v>
      </c>
      <c r="B66" s="166" t="s">
        <v>38</v>
      </c>
      <c r="C66" s="78" t="s">
        <v>221</v>
      </c>
      <c r="D66" s="150" t="s">
        <v>391</v>
      </c>
      <c r="E66" s="150" t="s">
        <v>391</v>
      </c>
      <c r="F66" s="150" t="s">
        <v>391</v>
      </c>
      <c r="G66" s="150" t="s">
        <v>391</v>
      </c>
      <c r="H66" s="150" t="s">
        <v>391</v>
      </c>
      <c r="I66" s="73" t="s">
        <v>391</v>
      </c>
      <c r="J66" s="74" t="s">
        <v>44</v>
      </c>
      <c r="K66" s="74" t="s">
        <v>90</v>
      </c>
      <c r="L66" s="74" t="s">
        <v>91</v>
      </c>
      <c r="M66" s="74" t="s">
        <v>90</v>
      </c>
      <c r="N66" s="74" t="s">
        <v>92</v>
      </c>
      <c r="O66" s="75" t="s">
        <v>403</v>
      </c>
      <c r="P66" s="73" t="s">
        <v>391</v>
      </c>
      <c r="Q66" s="74" t="s">
        <v>94</v>
      </c>
      <c r="R66" s="74" t="s">
        <v>90</v>
      </c>
      <c r="S66" s="75" t="s">
        <v>403</v>
      </c>
      <c r="T66" s="73" t="s">
        <v>391</v>
      </c>
      <c r="U66" s="74" t="s">
        <v>95</v>
      </c>
      <c r="V66" s="74" t="s">
        <v>90</v>
      </c>
      <c r="W66" s="75" t="s">
        <v>403</v>
      </c>
      <c r="X66" s="303" t="s">
        <v>391</v>
      </c>
      <c r="Y66" s="74" t="s">
        <v>96</v>
      </c>
      <c r="Z66" s="74" t="s">
        <v>90</v>
      </c>
      <c r="AA66" s="75" t="s">
        <v>403</v>
      </c>
      <c r="AB66" s="184" t="s">
        <v>403</v>
      </c>
    </row>
    <row r="67" spans="1:28" ht="18" customHeight="1" x14ac:dyDescent="0.2">
      <c r="A67" s="4">
        <v>67</v>
      </c>
      <c r="B67" s="166" t="s">
        <v>40</v>
      </c>
      <c r="C67" s="78" t="s">
        <v>222</v>
      </c>
      <c r="D67" s="151" t="s">
        <v>44</v>
      </c>
      <c r="E67" s="77" t="s">
        <v>47</v>
      </c>
      <c r="F67" s="77" t="s">
        <v>27</v>
      </c>
      <c r="G67" s="77" t="s">
        <v>48</v>
      </c>
      <c r="H67" s="78" t="s">
        <v>49</v>
      </c>
      <c r="I67" s="76" t="s">
        <v>102</v>
      </c>
      <c r="J67" s="77" t="s">
        <v>97</v>
      </c>
      <c r="K67" s="77" t="s">
        <v>98</v>
      </c>
      <c r="L67" s="77" t="s">
        <v>99</v>
      </c>
      <c r="M67" s="77" t="s">
        <v>100</v>
      </c>
      <c r="N67" s="77" t="s">
        <v>101</v>
      </c>
      <c r="O67" s="153" t="s">
        <v>102</v>
      </c>
      <c r="P67" s="76" t="s">
        <v>94</v>
      </c>
      <c r="Q67" s="77" t="s">
        <v>97</v>
      </c>
      <c r="R67" s="77" t="s">
        <v>98</v>
      </c>
      <c r="S67" s="78" t="s">
        <v>94</v>
      </c>
      <c r="T67" s="76" t="s">
        <v>103</v>
      </c>
      <c r="U67" s="77" t="s">
        <v>97</v>
      </c>
      <c r="V67" s="77" t="s">
        <v>98</v>
      </c>
      <c r="W67" s="78" t="s">
        <v>103</v>
      </c>
      <c r="X67" s="249" t="s">
        <v>104</v>
      </c>
      <c r="Y67" s="77" t="s">
        <v>97</v>
      </c>
      <c r="Z67" s="77" t="s">
        <v>98</v>
      </c>
      <c r="AA67" s="78" t="s">
        <v>104</v>
      </c>
      <c r="AB67" s="185" t="s">
        <v>105</v>
      </c>
    </row>
    <row r="68" spans="1:28" ht="18" customHeight="1" x14ac:dyDescent="0.2">
      <c r="A68" s="4">
        <v>68</v>
      </c>
      <c r="B68" s="166"/>
      <c r="C68" s="285" t="s">
        <v>41</v>
      </c>
      <c r="D68" s="151" t="s">
        <v>53</v>
      </c>
      <c r="E68" s="77" t="s">
        <v>53</v>
      </c>
      <c r="F68" s="77" t="s">
        <v>53</v>
      </c>
      <c r="G68" s="77" t="s">
        <v>53</v>
      </c>
      <c r="H68" s="78" t="s">
        <v>196</v>
      </c>
      <c r="I68" s="76" t="s">
        <v>114</v>
      </c>
      <c r="J68" s="79" t="s">
        <v>402</v>
      </c>
      <c r="K68" s="77" t="s">
        <v>111</v>
      </c>
      <c r="L68" s="77" t="s">
        <v>112</v>
      </c>
      <c r="M68" s="77" t="s">
        <v>111</v>
      </c>
      <c r="N68" s="77" t="s">
        <v>113</v>
      </c>
      <c r="O68" s="153" t="s">
        <v>114</v>
      </c>
      <c r="P68" s="76" t="s">
        <v>115</v>
      </c>
      <c r="Q68" s="79" t="s">
        <v>130</v>
      </c>
      <c r="R68" s="77" t="s">
        <v>111</v>
      </c>
      <c r="S68" s="78" t="s">
        <v>115</v>
      </c>
      <c r="T68" s="76" t="s">
        <v>114</v>
      </c>
      <c r="U68" s="79" t="s">
        <v>130</v>
      </c>
      <c r="V68" s="77" t="s">
        <v>111</v>
      </c>
      <c r="W68" s="78" t="s">
        <v>114</v>
      </c>
      <c r="X68" s="249" t="s">
        <v>115</v>
      </c>
      <c r="Y68" s="79" t="s">
        <v>402</v>
      </c>
      <c r="Z68" s="77" t="s">
        <v>111</v>
      </c>
      <c r="AA68" s="78" t="s">
        <v>115</v>
      </c>
      <c r="AB68" s="185" t="s">
        <v>57</v>
      </c>
    </row>
    <row r="69" spans="1:28" ht="18" customHeight="1" x14ac:dyDescent="0.2">
      <c r="A69" s="4">
        <v>69</v>
      </c>
      <c r="B69" s="167"/>
      <c r="C69" s="293" t="s">
        <v>50</v>
      </c>
      <c r="D69" s="162"/>
      <c r="E69" s="80"/>
      <c r="F69" s="80"/>
      <c r="G69" s="80"/>
      <c r="H69" s="97"/>
      <c r="I69" s="83"/>
      <c r="J69" s="81"/>
      <c r="K69" s="81"/>
      <c r="L69" s="81"/>
      <c r="M69" s="81"/>
      <c r="N69" s="81"/>
      <c r="O69" s="82"/>
      <c r="P69" s="83"/>
      <c r="Q69" s="81"/>
      <c r="R69" s="81"/>
      <c r="S69" s="82"/>
      <c r="T69" s="83"/>
      <c r="U69" s="81"/>
      <c r="V69" s="81"/>
      <c r="W69" s="82"/>
      <c r="X69" s="304"/>
      <c r="Y69" s="81"/>
      <c r="Z69" s="81"/>
      <c r="AA69" s="82"/>
      <c r="AB69" s="186"/>
    </row>
    <row r="70" spans="1:28" ht="18" customHeight="1" x14ac:dyDescent="0.2">
      <c r="A70" s="4">
        <v>70</v>
      </c>
      <c r="B70" s="380" t="str">
        <f>'D1. Member Months'!B$10</f>
        <v>Nursing Home Level of Care</v>
      </c>
      <c r="C70" s="168">
        <f>'D1. Member Months'!D$10</f>
        <v>436922.1</v>
      </c>
      <c r="D70" s="84">
        <f>O57</f>
        <v>3310.467122734738</v>
      </c>
      <c r="E70" s="84">
        <f>S57</f>
        <v>0</v>
      </c>
      <c r="F70" s="85">
        <f>W57</f>
        <v>0</v>
      </c>
      <c r="G70" s="85">
        <f>AA57</f>
        <v>128.32923109313688</v>
      </c>
      <c r="H70" s="159">
        <f>AB57</f>
        <v>3438.796353827875</v>
      </c>
      <c r="I70" s="154">
        <f>D70</f>
        <v>3310.467122734738</v>
      </c>
      <c r="J70" s="388">
        <v>2.9115835557158961E-2</v>
      </c>
      <c r="K70" s="85">
        <f>J70*I70</f>
        <v>96.387016362925806</v>
      </c>
      <c r="L70" s="388">
        <v>-6.3403284490076827E-3</v>
      </c>
      <c r="M70" s="85">
        <f>(I70+K70)*(L70)</f>
        <v>-21.600574219740494</v>
      </c>
      <c r="N70" s="85">
        <f>K70+M70</f>
        <v>74.786442143185312</v>
      </c>
      <c r="O70" s="155">
        <f>N70+I70</f>
        <v>3385.2535648779235</v>
      </c>
      <c r="P70" s="154">
        <f>E70</f>
        <v>0</v>
      </c>
      <c r="Q70" s="388"/>
      <c r="R70" s="85">
        <f>Q70*P70</f>
        <v>0</v>
      </c>
      <c r="S70" s="181">
        <f>P70+R70</f>
        <v>0</v>
      </c>
      <c r="T70" s="154">
        <f>F70</f>
        <v>0</v>
      </c>
      <c r="U70" s="388"/>
      <c r="V70" s="85">
        <f>T70*U70</f>
        <v>0</v>
      </c>
      <c r="W70" s="181">
        <f>V70+T70</f>
        <v>0</v>
      </c>
      <c r="X70" s="154">
        <f>G70</f>
        <v>128.32923109313688</v>
      </c>
      <c r="Y70" s="388">
        <v>2.9115835557158961E-2</v>
      </c>
      <c r="Z70" s="85">
        <f>Y70*X70</f>
        <v>3.7364127896844241</v>
      </c>
      <c r="AA70" s="181">
        <f>Z70+X70</f>
        <v>132.06564388282132</v>
      </c>
      <c r="AB70" s="187">
        <f>AA70+W70+S70+O70</f>
        <v>3517.3192087607449</v>
      </c>
    </row>
    <row r="71" spans="1:28" ht="18" customHeight="1" x14ac:dyDescent="0.2">
      <c r="A71" s="4">
        <v>71</v>
      </c>
      <c r="B71" s="380" t="str">
        <f>'D1. Member Months'!B$11</f>
        <v>Non-Nursing Home Level of Care</v>
      </c>
      <c r="C71" s="168">
        <f>'D1. Member Months'!D$11</f>
        <v>15335.830000000002</v>
      </c>
      <c r="D71" s="84">
        <f>O58</f>
        <v>632.12027269610746</v>
      </c>
      <c r="E71" s="84">
        <f>S58</f>
        <v>0</v>
      </c>
      <c r="F71" s="85">
        <f>W58</f>
        <v>0</v>
      </c>
      <c r="G71" s="85">
        <f>AA58</f>
        <v>25.447940700935426</v>
      </c>
      <c r="H71" s="159">
        <f>AB58</f>
        <v>657.56821339704288</v>
      </c>
      <c r="I71" s="154">
        <f>D71</f>
        <v>632.12027269610746</v>
      </c>
      <c r="J71" s="388">
        <v>2.9115835557158819E-2</v>
      </c>
      <c r="K71" s="85">
        <f>J71*I71</f>
        <v>18.404709912166254</v>
      </c>
      <c r="L71" s="388">
        <v>-1.1039535757665371E-3</v>
      </c>
      <c r="M71" s="85">
        <f>(I71+K71)*(L71)</f>
        <v>-0.71814938067586809</v>
      </c>
      <c r="N71" s="85">
        <f>K71+M71</f>
        <v>17.686560531490386</v>
      </c>
      <c r="O71" s="155">
        <f>N71+I71</f>
        <v>649.80683322759785</v>
      </c>
      <c r="P71" s="154">
        <f>E71</f>
        <v>0</v>
      </c>
      <c r="Q71" s="388"/>
      <c r="R71" s="85">
        <f>Q71*P71</f>
        <v>0</v>
      </c>
      <c r="S71" s="181">
        <f>P71+R71</f>
        <v>0</v>
      </c>
      <c r="T71" s="154">
        <f>F71</f>
        <v>0</v>
      </c>
      <c r="U71" s="388"/>
      <c r="V71" s="85">
        <f>T71*U71</f>
        <v>0</v>
      </c>
      <c r="W71" s="181">
        <f>V71+T71</f>
        <v>0</v>
      </c>
      <c r="X71" s="154">
        <f>G71</f>
        <v>25.447940700935426</v>
      </c>
      <c r="Y71" s="388">
        <v>2.9115835557158819E-2</v>
      </c>
      <c r="Z71" s="85">
        <f>Y71*X71</f>
        <v>0.74093805671676483</v>
      </c>
      <c r="AA71" s="181">
        <f>Z71+X71</f>
        <v>26.188878757652191</v>
      </c>
      <c r="AB71" s="187">
        <f>AA71+W71+S71+O71</f>
        <v>675.99571198525007</v>
      </c>
    </row>
    <row r="72" spans="1:28" ht="18" customHeight="1" x14ac:dyDescent="0.2">
      <c r="A72" s="4">
        <v>72</v>
      </c>
      <c r="B72" s="380"/>
      <c r="C72" s="168"/>
      <c r="D72" s="84"/>
      <c r="E72" s="84"/>
      <c r="F72" s="85"/>
      <c r="G72" s="85"/>
      <c r="H72" s="159"/>
      <c r="I72" s="154"/>
      <c r="J72" s="389"/>
      <c r="K72" s="85"/>
      <c r="L72" s="389"/>
      <c r="M72" s="85"/>
      <c r="N72" s="85"/>
      <c r="O72" s="155"/>
      <c r="P72" s="154"/>
      <c r="Q72" s="388"/>
      <c r="R72" s="85"/>
      <c r="S72" s="181"/>
      <c r="T72" s="154"/>
      <c r="U72" s="388"/>
      <c r="V72" s="85"/>
      <c r="W72" s="181"/>
      <c r="X72" s="154"/>
      <c r="Y72" s="388"/>
      <c r="Z72" s="85"/>
      <c r="AA72" s="181"/>
      <c r="AB72" s="187"/>
    </row>
    <row r="73" spans="1:28" ht="18" customHeight="1" thickBot="1" x14ac:dyDescent="0.25">
      <c r="A73" s="4">
        <v>73</v>
      </c>
      <c r="B73" s="380"/>
      <c r="C73" s="168"/>
      <c r="D73" s="84"/>
      <c r="E73" s="84"/>
      <c r="F73" s="85"/>
      <c r="G73" s="85"/>
      <c r="H73" s="159"/>
      <c r="I73" s="179"/>
      <c r="J73" s="390"/>
      <c r="K73" s="177"/>
      <c r="L73" s="390"/>
      <c r="M73" s="177"/>
      <c r="N73" s="177"/>
      <c r="O73" s="180"/>
      <c r="P73" s="179"/>
      <c r="Q73" s="391"/>
      <c r="R73" s="177"/>
      <c r="S73" s="182"/>
      <c r="T73" s="179"/>
      <c r="U73" s="391"/>
      <c r="V73" s="177"/>
      <c r="W73" s="182"/>
      <c r="X73" s="179"/>
      <c r="Y73" s="391"/>
      <c r="Z73" s="177"/>
      <c r="AA73" s="182"/>
      <c r="AB73" s="188"/>
    </row>
    <row r="74" spans="1:28" ht="18" customHeight="1" thickTop="1" x14ac:dyDescent="0.2">
      <c r="A74" s="4">
        <v>74</v>
      </c>
      <c r="B74" s="412" t="s">
        <v>125</v>
      </c>
      <c r="C74" s="169">
        <f>SUM(C70:C73)</f>
        <v>452257.93</v>
      </c>
      <c r="D74" s="170"/>
      <c r="E74" s="171"/>
      <c r="F74" s="171"/>
      <c r="G74" s="171"/>
      <c r="H74" s="172"/>
      <c r="I74" s="173"/>
      <c r="J74" s="171"/>
      <c r="K74" s="171"/>
      <c r="L74" s="171"/>
      <c r="M74" s="174"/>
      <c r="N74" s="195"/>
      <c r="O74" s="196"/>
      <c r="P74" s="173"/>
      <c r="Q74" s="175"/>
      <c r="R74" s="195"/>
      <c r="S74" s="197"/>
      <c r="T74" s="173"/>
      <c r="U74" s="175"/>
      <c r="V74" s="195"/>
      <c r="W74" s="197"/>
      <c r="X74" s="173"/>
      <c r="Y74" s="175"/>
      <c r="Z74" s="195"/>
      <c r="AA74" s="197"/>
      <c r="AB74" s="189"/>
    </row>
    <row r="75" spans="1:28" ht="18" customHeight="1" thickBot="1" x14ac:dyDescent="0.25">
      <c r="A75" s="4">
        <v>75</v>
      </c>
      <c r="B75" s="255" t="s">
        <v>407</v>
      </c>
      <c r="C75" s="198"/>
      <c r="D75" s="163">
        <f>O62</f>
        <v>3219.6457810874444</v>
      </c>
      <c r="E75" s="157">
        <f>S62</f>
        <v>0</v>
      </c>
      <c r="F75" s="157">
        <f>W62</f>
        <v>0</v>
      </c>
      <c r="G75" s="157">
        <f>AA62</f>
        <v>124.84058031450833</v>
      </c>
      <c r="H75" s="161">
        <f>AB62</f>
        <v>3344.4863614019528</v>
      </c>
      <c r="I75" s="160">
        <f>D75</f>
        <v>3219.6457810874444</v>
      </c>
      <c r="J75" s="156">
        <f>IF(I75=0,0,K75/I75)</f>
        <v>2.9115835557158954E-2</v>
      </c>
      <c r="K75" s="157">
        <f>SUMPRODUCT(K70:K73,$C70:$C73)/$C74</f>
        <v>93.742677114442628</v>
      </c>
      <c r="L75" s="156">
        <f>M75/(I75+K75)</f>
        <v>-6.3054671593021786E-3</v>
      </c>
      <c r="M75" s="157">
        <f>SUMPRODUCT(M70:M73,$C70:$C73)/$C74</f>
        <v>-20.892462109202878</v>
      </c>
      <c r="N75" s="157">
        <f>K75+M75</f>
        <v>72.850215005239747</v>
      </c>
      <c r="O75" s="199">
        <f>N75+I75</f>
        <v>3292.495996092684</v>
      </c>
      <c r="P75" s="160">
        <f>E75</f>
        <v>0</v>
      </c>
      <c r="Q75" s="156">
        <f>IF(P75=0,0,R75/P75)</f>
        <v>0</v>
      </c>
      <c r="R75" s="157">
        <f>SUMPRODUCT(R70:R73,$C70:$C73)/$C74</f>
        <v>0</v>
      </c>
      <c r="S75" s="200">
        <f>P75+R75</f>
        <v>0</v>
      </c>
      <c r="T75" s="160">
        <f>F75</f>
        <v>0</v>
      </c>
      <c r="U75" s="156">
        <f>IF(T75=0,0,V75/T75)</f>
        <v>0</v>
      </c>
      <c r="V75" s="157">
        <f>SUMPRODUCT(V70:V73,$C70:$C73)/$C74</f>
        <v>0</v>
      </c>
      <c r="W75" s="200">
        <f>V75+T75</f>
        <v>0</v>
      </c>
      <c r="X75" s="160">
        <f>G75</f>
        <v>124.84058031450833</v>
      </c>
      <c r="Y75" s="156">
        <f>IF(X75=0,0,Z75/X75)</f>
        <v>2.9115835557158957E-2</v>
      </c>
      <c r="Z75" s="157">
        <f>SUMPRODUCT(Z70:Z73,$C70:$C73)/$C74</f>
        <v>3.63483780729752</v>
      </c>
      <c r="AA75" s="200">
        <f>Z75+X75</f>
        <v>128.47541812180586</v>
      </c>
      <c r="AB75" s="190">
        <f>AA75+W75+S75+O75</f>
        <v>3420.9714142144899</v>
      </c>
    </row>
    <row r="76" spans="1:28" x14ac:dyDescent="0.2">
      <c r="J76" s="86"/>
      <c r="K76" s="86"/>
    </row>
    <row r="77" spans="1:28" x14ac:dyDescent="0.2">
      <c r="J77" s="86"/>
      <c r="K77" s="86"/>
    </row>
    <row r="78" spans="1:28" x14ac:dyDescent="0.2">
      <c r="J78" s="86"/>
      <c r="K78" s="86"/>
    </row>
    <row r="79" spans="1:28" x14ac:dyDescent="0.2">
      <c r="J79" s="86"/>
      <c r="K79" s="86"/>
    </row>
    <row r="80" spans="1:28" x14ac:dyDescent="0.2">
      <c r="J80" s="86"/>
      <c r="K80" s="86"/>
    </row>
    <row r="81" spans="4:11" x14ac:dyDescent="0.2">
      <c r="J81" s="86"/>
      <c r="K81" s="86"/>
    </row>
    <row r="82" spans="4:11" x14ac:dyDescent="0.2">
      <c r="D82" s="444"/>
      <c r="E82" s="444"/>
      <c r="J82" s="86"/>
      <c r="K82" s="86"/>
    </row>
    <row r="83" spans="4:11" x14ac:dyDescent="0.2">
      <c r="J83" s="86"/>
      <c r="K83" s="86"/>
    </row>
    <row r="84" spans="4:11" x14ac:dyDescent="0.2">
      <c r="J84" s="86"/>
      <c r="K84" s="86"/>
    </row>
    <row r="85" spans="4:11" x14ac:dyDescent="0.2">
      <c r="J85" s="86"/>
      <c r="K85" s="86"/>
    </row>
    <row r="86" spans="4:11" x14ac:dyDescent="0.2">
      <c r="J86" s="86"/>
      <c r="K86" s="86"/>
    </row>
    <row r="87" spans="4:11" x14ac:dyDescent="0.2">
      <c r="J87" s="86"/>
      <c r="K87" s="86"/>
    </row>
    <row r="88" spans="4:11" x14ac:dyDescent="0.2">
      <c r="J88" s="86"/>
      <c r="K88" s="86"/>
    </row>
    <row r="89" spans="4:11" x14ac:dyDescent="0.2">
      <c r="J89" s="86"/>
      <c r="K89" s="86"/>
    </row>
    <row r="90" spans="4:11" x14ac:dyDescent="0.2">
      <c r="J90" s="86"/>
      <c r="K90" s="86"/>
    </row>
    <row r="91" spans="4:11" x14ac:dyDescent="0.2">
      <c r="J91" s="86"/>
      <c r="K91" s="86"/>
    </row>
    <row r="92" spans="4:11" x14ac:dyDescent="0.2">
      <c r="J92" s="86"/>
      <c r="K92" s="86"/>
    </row>
    <row r="93" spans="4:11" x14ac:dyDescent="0.2">
      <c r="J93" s="86"/>
      <c r="K93" s="86"/>
    </row>
    <row r="94" spans="4:11" x14ac:dyDescent="0.2">
      <c r="J94" s="86"/>
      <c r="K94" s="86"/>
    </row>
    <row r="95" spans="4:11" x14ac:dyDescent="0.2">
      <c r="J95" s="86"/>
      <c r="K95" s="86"/>
    </row>
    <row r="96" spans="4:11" x14ac:dyDescent="0.2">
      <c r="J96" s="86"/>
      <c r="K96" s="86"/>
    </row>
    <row r="97" spans="10:11" x14ac:dyDescent="0.2">
      <c r="J97" s="86"/>
      <c r="K97" s="86"/>
    </row>
    <row r="98" spans="10:11" x14ac:dyDescent="0.2">
      <c r="J98" s="86"/>
      <c r="K98" s="86"/>
    </row>
    <row r="99" spans="10:11" x14ac:dyDescent="0.2">
      <c r="J99" s="86"/>
      <c r="K99" s="86"/>
    </row>
    <row r="100" spans="10:11" x14ac:dyDescent="0.2">
      <c r="J100" s="86"/>
      <c r="K100" s="86"/>
    </row>
    <row r="101" spans="10:11" x14ac:dyDescent="0.2">
      <c r="J101" s="86"/>
      <c r="K101" s="86"/>
    </row>
    <row r="102" spans="10:11" x14ac:dyDescent="0.2">
      <c r="J102" s="86"/>
      <c r="K102" s="86"/>
    </row>
    <row r="103" spans="10:11" x14ac:dyDescent="0.2">
      <c r="J103" s="86"/>
      <c r="K103" s="86"/>
    </row>
    <row r="104" spans="10:11" x14ac:dyDescent="0.2">
      <c r="J104" s="86"/>
      <c r="K104" s="86"/>
    </row>
    <row r="105" spans="10:11" x14ac:dyDescent="0.2">
      <c r="J105" s="86"/>
      <c r="K105" s="86"/>
    </row>
    <row r="106" spans="10:11" x14ac:dyDescent="0.2">
      <c r="J106" s="86"/>
      <c r="K106" s="86"/>
    </row>
    <row r="107" spans="10:11" x14ac:dyDescent="0.2">
      <c r="J107" s="86"/>
      <c r="K107" s="86"/>
    </row>
    <row r="108" spans="10:11" x14ac:dyDescent="0.2">
      <c r="J108" s="86"/>
      <c r="K108" s="86"/>
    </row>
    <row r="109" spans="10:11" x14ac:dyDescent="0.2">
      <c r="J109" s="86"/>
      <c r="K109" s="86"/>
    </row>
    <row r="110" spans="10:11" x14ac:dyDescent="0.2">
      <c r="J110" s="86"/>
      <c r="K110" s="86"/>
    </row>
    <row r="111" spans="10:11" x14ac:dyDescent="0.2">
      <c r="J111" s="86"/>
      <c r="K111" s="86"/>
    </row>
    <row r="112" spans="10:11" x14ac:dyDescent="0.2">
      <c r="J112" s="86"/>
      <c r="K112" s="86"/>
    </row>
    <row r="113" spans="10:11" x14ac:dyDescent="0.2">
      <c r="J113" s="86"/>
      <c r="K113" s="86"/>
    </row>
    <row r="114" spans="10:11" x14ac:dyDescent="0.2">
      <c r="J114" s="86"/>
      <c r="K114" s="86"/>
    </row>
    <row r="115" spans="10:11" x14ac:dyDescent="0.2">
      <c r="J115" s="86"/>
      <c r="K115" s="86"/>
    </row>
    <row r="116" spans="10:11" x14ac:dyDescent="0.2">
      <c r="J116" s="86"/>
      <c r="K116" s="86"/>
    </row>
    <row r="117" spans="10:11" x14ac:dyDescent="0.2">
      <c r="J117" s="86"/>
      <c r="K117" s="86"/>
    </row>
    <row r="118" spans="10:11" x14ac:dyDescent="0.2">
      <c r="J118" s="86"/>
      <c r="K118" s="86"/>
    </row>
    <row r="119" spans="10:11" x14ac:dyDescent="0.2">
      <c r="J119" s="86"/>
      <c r="K119" s="86"/>
    </row>
    <row r="120" spans="10:11" x14ac:dyDescent="0.2">
      <c r="J120" s="86"/>
      <c r="K120" s="86"/>
    </row>
    <row r="121" spans="10:11" x14ac:dyDescent="0.2">
      <c r="J121" s="86"/>
      <c r="K121" s="86"/>
    </row>
    <row r="122" spans="10:11" x14ac:dyDescent="0.2">
      <c r="J122" s="86"/>
      <c r="K122" s="86"/>
    </row>
    <row r="123" spans="10:11" x14ac:dyDescent="0.2">
      <c r="J123" s="86"/>
      <c r="K123" s="86"/>
    </row>
    <row r="124" spans="10:11" x14ac:dyDescent="0.2">
      <c r="J124" s="86"/>
      <c r="K124" s="86"/>
    </row>
    <row r="125" spans="10:11" x14ac:dyDescent="0.2">
      <c r="J125" s="86"/>
      <c r="K125" s="86"/>
    </row>
    <row r="126" spans="10:11" x14ac:dyDescent="0.2">
      <c r="J126" s="86"/>
      <c r="K126" s="86"/>
    </row>
    <row r="127" spans="10:11" x14ac:dyDescent="0.2">
      <c r="J127" s="86"/>
      <c r="K127" s="86"/>
    </row>
    <row r="128" spans="10:11" x14ac:dyDescent="0.2">
      <c r="J128" s="86"/>
      <c r="K128" s="86"/>
    </row>
    <row r="129" spans="10:11" x14ac:dyDescent="0.2">
      <c r="J129" s="86"/>
      <c r="K129" s="86"/>
    </row>
    <row r="130" spans="10:11" x14ac:dyDescent="0.2">
      <c r="J130" s="86"/>
      <c r="K130" s="86"/>
    </row>
    <row r="131" spans="10:11" x14ac:dyDescent="0.2">
      <c r="J131" s="86"/>
      <c r="K131" s="86"/>
    </row>
    <row r="132" spans="10:11" x14ac:dyDescent="0.2">
      <c r="J132" s="86"/>
      <c r="K132" s="86"/>
    </row>
    <row r="133" spans="10:11" x14ac:dyDescent="0.2">
      <c r="J133" s="86"/>
      <c r="K133" s="86"/>
    </row>
    <row r="134" spans="10:11" x14ac:dyDescent="0.2">
      <c r="J134" s="86"/>
      <c r="K134" s="86"/>
    </row>
    <row r="135" spans="10:11" x14ac:dyDescent="0.2">
      <c r="J135" s="86"/>
      <c r="K135" s="86"/>
    </row>
    <row r="136" spans="10:11" x14ac:dyDescent="0.2">
      <c r="J136" s="86"/>
      <c r="K136" s="86"/>
    </row>
    <row r="137" spans="10:11" x14ac:dyDescent="0.2">
      <c r="J137" s="86"/>
      <c r="K137" s="86"/>
    </row>
    <row r="138" spans="10:11" x14ac:dyDescent="0.2">
      <c r="J138" s="86"/>
      <c r="K138" s="86"/>
    </row>
    <row r="139" spans="10:11" x14ac:dyDescent="0.2">
      <c r="J139" s="86"/>
      <c r="K139" s="86"/>
    </row>
    <row r="140" spans="10:11" x14ac:dyDescent="0.2">
      <c r="J140" s="86"/>
      <c r="K140" s="86"/>
    </row>
    <row r="141" spans="10:11" x14ac:dyDescent="0.2">
      <c r="J141" s="86"/>
      <c r="K141" s="86"/>
    </row>
    <row r="142" spans="10:11" x14ac:dyDescent="0.2">
      <c r="J142" s="86"/>
      <c r="K142" s="86"/>
    </row>
    <row r="143" spans="10:11" x14ac:dyDescent="0.2">
      <c r="J143" s="86"/>
      <c r="K143" s="86"/>
    </row>
    <row r="144" spans="10:11" x14ac:dyDescent="0.2">
      <c r="J144" s="86"/>
      <c r="K144" s="86"/>
    </row>
    <row r="145" spans="10:11" x14ac:dyDescent="0.2">
      <c r="J145" s="86"/>
      <c r="K145" s="86"/>
    </row>
    <row r="146" spans="10:11" x14ac:dyDescent="0.2">
      <c r="J146" s="86"/>
      <c r="K146" s="86"/>
    </row>
    <row r="147" spans="10:11" x14ac:dyDescent="0.2">
      <c r="J147" s="86"/>
      <c r="K147" s="86"/>
    </row>
    <row r="148" spans="10:11" x14ac:dyDescent="0.2">
      <c r="J148" s="86"/>
      <c r="K148" s="86"/>
    </row>
    <row r="149" spans="10:11" x14ac:dyDescent="0.2">
      <c r="J149" s="86"/>
      <c r="K149" s="86"/>
    </row>
    <row r="150" spans="10:11" x14ac:dyDescent="0.2">
      <c r="J150" s="86"/>
      <c r="K150" s="86"/>
    </row>
    <row r="151" spans="10:11" x14ac:dyDescent="0.2">
      <c r="J151" s="86"/>
      <c r="K151" s="86"/>
    </row>
    <row r="152" spans="10:11" x14ac:dyDescent="0.2">
      <c r="J152" s="86"/>
      <c r="K152" s="86"/>
    </row>
    <row r="153" spans="10:11" x14ac:dyDescent="0.2">
      <c r="J153" s="86"/>
      <c r="K153" s="86"/>
    </row>
    <row r="154" spans="10:11" x14ac:dyDescent="0.2">
      <c r="J154" s="86"/>
      <c r="K154" s="86"/>
    </row>
    <row r="155" spans="10:11" x14ac:dyDescent="0.2">
      <c r="J155" s="86"/>
      <c r="K155" s="86"/>
    </row>
    <row r="156" spans="10:11" x14ac:dyDescent="0.2">
      <c r="J156" s="86"/>
      <c r="K156" s="86"/>
    </row>
    <row r="157" spans="10:11" x14ac:dyDescent="0.2">
      <c r="J157" s="86"/>
      <c r="K157" s="86"/>
    </row>
    <row r="158" spans="10:11" x14ac:dyDescent="0.2">
      <c r="J158" s="86"/>
      <c r="K158" s="86"/>
    </row>
    <row r="159" spans="10:11" x14ac:dyDescent="0.2">
      <c r="J159" s="86"/>
      <c r="K159" s="86"/>
    </row>
    <row r="160" spans="10:11" x14ac:dyDescent="0.2">
      <c r="J160" s="86"/>
      <c r="K160" s="86"/>
    </row>
    <row r="161" spans="10:11" x14ac:dyDescent="0.2">
      <c r="J161" s="86"/>
      <c r="K161" s="86"/>
    </row>
    <row r="162" spans="10:11" x14ac:dyDescent="0.2">
      <c r="J162" s="86"/>
      <c r="K162" s="86"/>
    </row>
    <row r="163" spans="10:11" x14ac:dyDescent="0.2">
      <c r="J163" s="86"/>
      <c r="K163" s="86"/>
    </row>
    <row r="164" spans="10:11" x14ac:dyDescent="0.2">
      <c r="J164" s="86"/>
      <c r="K164" s="86"/>
    </row>
    <row r="165" spans="10:11" x14ac:dyDescent="0.2">
      <c r="J165" s="86"/>
      <c r="K165" s="86"/>
    </row>
    <row r="166" spans="10:11" x14ac:dyDescent="0.2">
      <c r="J166" s="86"/>
      <c r="K166" s="86"/>
    </row>
    <row r="167" spans="10:11" x14ac:dyDescent="0.2">
      <c r="J167" s="86"/>
      <c r="K167" s="86"/>
    </row>
    <row r="168" spans="10:11" x14ac:dyDescent="0.2">
      <c r="J168" s="86"/>
      <c r="K168" s="86"/>
    </row>
  </sheetData>
  <mergeCells count="5">
    <mergeCell ref="C20:O20"/>
    <mergeCell ref="C22:O22"/>
    <mergeCell ref="L27:L28"/>
    <mergeCell ref="L40:L41"/>
    <mergeCell ref="L10:L11"/>
  </mergeCells>
  <phoneticPr fontId="0" type="noConversion"/>
  <printOptions horizontalCentered="1"/>
  <pageMargins left="0.17" right="0.17" top="0.39" bottom="0.39" header="0.21" footer="0.17"/>
  <pageSetup paperSize="5" scale="58" fitToWidth="2" fitToHeight="2" orientation="landscape" r:id="rId1"/>
  <headerFooter alignWithMargins="0">
    <oddHeader xml:space="preserve">&amp;L&amp;"Arial,Bold"&amp;12State of Wisconsin&amp;C&amp;"Arial,Bold"&amp;12Appendix &amp;A&amp;R&amp;"Arial,Bold"&amp;12 </oddHeader>
    <oddFooter>&amp;L&amp;8'&amp;A'&amp;C&amp;8Page &amp;P of &amp;N&amp;R&amp;8&amp;F</oddFooter>
  </headerFooter>
  <rowBreaks count="1" manualBreakCount="1">
    <brk id="48" max="27" man="1"/>
  </rowBreaks>
  <colBreaks count="1" manualBreakCount="1">
    <brk id="15" max="7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G113"/>
  <sheetViews>
    <sheetView showGridLines="0" zoomScaleNormal="100" workbookViewId="0"/>
  </sheetViews>
  <sheetFormatPr defaultRowHeight="11.25" x14ac:dyDescent="0.2"/>
  <cols>
    <col min="1" max="1" width="6.42578125" style="24" bestFit="1" customWidth="1"/>
    <col min="2" max="2" width="43.7109375" style="24" customWidth="1"/>
    <col min="3" max="3" width="15.7109375" style="24" customWidth="1"/>
    <col min="4" max="4" width="16.85546875" style="24" customWidth="1"/>
    <col min="5" max="6" width="15.7109375" style="24" customWidth="1"/>
    <col min="7" max="7" width="16.7109375" style="24" bestFit="1" customWidth="1"/>
    <col min="8" max="8" width="15.7109375" style="24" customWidth="1"/>
    <col min="9" max="9" width="14.140625" style="24" bestFit="1" customWidth="1"/>
    <col min="10" max="10" width="16.7109375" style="24" bestFit="1" customWidth="1"/>
    <col min="11" max="11" width="12.7109375" style="24" bestFit="1" customWidth="1"/>
    <col min="12" max="12" width="14.140625" style="24" bestFit="1" customWidth="1"/>
    <col min="13" max="13" width="16.7109375" style="24" bestFit="1" customWidth="1"/>
    <col min="14" max="14" width="12.7109375" style="24" bestFit="1" customWidth="1"/>
    <col min="15" max="15" width="15.7109375" style="24" customWidth="1"/>
    <col min="16" max="16" width="16.42578125" style="24" customWidth="1"/>
    <col min="17" max="17" width="36.140625" style="24" customWidth="1"/>
    <col min="18" max="18" width="23.42578125" style="24" customWidth="1"/>
    <col min="19" max="19" width="25.28515625" style="24" customWidth="1"/>
    <col min="20" max="20" width="25.5703125" style="24" customWidth="1"/>
    <col min="21" max="21" width="23.7109375" style="24" customWidth="1"/>
    <col min="22" max="22" width="34.28515625" style="24" bestFit="1" customWidth="1"/>
    <col min="23" max="23" width="37.28515625" style="24" bestFit="1" customWidth="1"/>
    <col min="24" max="24" width="27" style="24" customWidth="1"/>
    <col min="25" max="25" width="20" style="24" customWidth="1"/>
    <col min="26" max="26" width="12.85546875" style="24" bestFit="1" customWidth="1"/>
    <col min="27" max="27" width="14.28515625" style="24" bestFit="1" customWidth="1"/>
    <col min="28" max="28" width="16.140625" style="24" bestFit="1" customWidth="1"/>
    <col min="29" max="29" width="11" style="24" bestFit="1" customWidth="1"/>
    <col min="30" max="30" width="14.28515625" style="24" customWidth="1"/>
    <col min="31" max="31" width="16.140625" style="24" customWidth="1"/>
    <col min="32" max="32" width="13.5703125" style="24" customWidth="1"/>
    <col min="33" max="33" width="14.28515625" style="24" bestFit="1" customWidth="1"/>
    <col min="34" max="34" width="16.140625" style="24" customWidth="1"/>
    <col min="35" max="35" width="11" style="24" bestFit="1" customWidth="1"/>
    <col min="36" max="36" width="0.42578125" style="24" customWidth="1"/>
    <col min="37" max="37" width="0.85546875" style="24" customWidth="1"/>
    <col min="38" max="38" width="1.140625" style="24" customWidth="1"/>
    <col min="39" max="39" width="0.7109375" style="24" customWidth="1"/>
    <col min="40" max="40" width="16.140625" style="24" bestFit="1" customWidth="1"/>
    <col min="41" max="41" width="11" style="24" bestFit="1" customWidth="1"/>
    <col min="42" max="42" width="14.28515625" style="24" bestFit="1" customWidth="1"/>
    <col min="43" max="43" width="16.140625" style="24" bestFit="1" customWidth="1"/>
    <col min="44" max="44" width="11" style="24" bestFit="1" customWidth="1"/>
    <col min="45" max="45" width="14.28515625" style="24" bestFit="1" customWidth="1"/>
    <col min="46" max="46" width="16.140625" style="24" bestFit="1" customWidth="1"/>
    <col min="47" max="47" width="11" style="24" bestFit="1" customWidth="1"/>
    <col min="48" max="16384" width="9.140625" style="24"/>
  </cols>
  <sheetData>
    <row r="1" spans="1:189" s="99" customFormat="1" ht="33.75" x14ac:dyDescent="0.2">
      <c r="A1" s="98" t="s">
        <v>0</v>
      </c>
      <c r="B1" s="99" t="s">
        <v>1</v>
      </c>
      <c r="C1" s="99" t="s">
        <v>2</v>
      </c>
      <c r="D1" s="99" t="s">
        <v>3</v>
      </c>
      <c r="E1" s="99" t="s">
        <v>4</v>
      </c>
      <c r="F1" s="99" t="s">
        <v>5</v>
      </c>
      <c r="G1" s="99" t="s">
        <v>6</v>
      </c>
      <c r="H1" s="99" t="s">
        <v>7</v>
      </c>
      <c r="I1" s="99" t="s">
        <v>8</v>
      </c>
      <c r="J1" s="99" t="s">
        <v>9</v>
      </c>
      <c r="K1" s="99" t="s">
        <v>10</v>
      </c>
      <c r="L1" s="99" t="s">
        <v>11</v>
      </c>
      <c r="M1" s="99" t="s">
        <v>12</v>
      </c>
      <c r="N1" s="99" t="s">
        <v>13</v>
      </c>
      <c r="O1" s="99" t="s">
        <v>34</v>
      </c>
      <c r="P1" s="99" t="s">
        <v>75</v>
      </c>
      <c r="Q1" s="99" t="s">
        <v>76</v>
      </c>
      <c r="R1" s="99" t="s">
        <v>77</v>
      </c>
      <c r="S1" s="99" t="s">
        <v>78</v>
      </c>
      <c r="T1" s="99" t="s">
        <v>79</v>
      </c>
      <c r="U1" s="99" t="s">
        <v>80</v>
      </c>
      <c r="V1" s="99" t="s">
        <v>81</v>
      </c>
      <c r="W1" s="99" t="s">
        <v>82</v>
      </c>
      <c r="X1" s="99" t="s">
        <v>33</v>
      </c>
      <c r="Y1" s="99" t="s">
        <v>83</v>
      </c>
      <c r="Z1" s="99" t="s">
        <v>84</v>
      </c>
      <c r="AA1" s="99" t="s">
        <v>85</v>
      </c>
      <c r="AB1" s="99" t="s">
        <v>86</v>
      </c>
      <c r="AC1" s="99" t="s">
        <v>265</v>
      </c>
      <c r="AD1" s="99" t="s">
        <v>266</v>
      </c>
      <c r="AE1" s="99" t="s">
        <v>267</v>
      </c>
      <c r="AF1" s="99" t="s">
        <v>268</v>
      </c>
      <c r="AG1" s="99" t="s">
        <v>269</v>
      </c>
      <c r="AH1" s="99" t="s">
        <v>270</v>
      </c>
      <c r="AI1" s="99" t="s">
        <v>271</v>
      </c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</row>
    <row r="2" spans="1:189" s="203" customFormat="1" ht="15" customHeight="1" x14ac:dyDescent="0.2">
      <c r="A2" s="99">
        <v>2</v>
      </c>
      <c r="B2" s="378" t="s">
        <v>290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/>
      <c r="P2" s="224" t="s">
        <v>205</v>
      </c>
      <c r="Q2" s="224"/>
      <c r="R2" s="102"/>
      <c r="S2" s="102"/>
      <c r="T2" s="102"/>
      <c r="U2" s="102"/>
      <c r="V2" s="224" t="s">
        <v>241</v>
      </c>
      <c r="W2" s="102"/>
      <c r="X2" s="102"/>
      <c r="Y2" s="102"/>
      <c r="Z2" s="102"/>
      <c r="AA2" s="102"/>
      <c r="AB2" s="102"/>
      <c r="AC2" s="102"/>
      <c r="AD2" s="23"/>
      <c r="AE2" s="23"/>
      <c r="AF2" s="23"/>
      <c r="AG2" s="102"/>
      <c r="AH2" s="102"/>
      <c r="AI2" s="10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</row>
    <row r="3" spans="1:189" customFormat="1" ht="15" customHeight="1" x14ac:dyDescent="0.2">
      <c r="A3" s="99">
        <v>3</v>
      </c>
      <c r="B3" s="477" t="s">
        <v>455</v>
      </c>
      <c r="G3" t="s">
        <v>339</v>
      </c>
      <c r="H3" t="str">
        <f>'D1. Member Months'!G4</f>
        <v>Wisconsin</v>
      </c>
      <c r="R3" t="s">
        <v>339</v>
      </c>
      <c r="S3" t="str">
        <f>'D1. Member Months'!G4</f>
        <v>Wisconsin</v>
      </c>
      <c r="Z3" t="s">
        <v>339</v>
      </c>
      <c r="AA3" t="str">
        <f>'D1. Member Months'!G4</f>
        <v>Wisconsin</v>
      </c>
    </row>
    <row r="4" spans="1:189" s="103" customFormat="1" ht="18" customHeight="1" x14ac:dyDescent="0.2">
      <c r="A4" s="99">
        <v>4</v>
      </c>
      <c r="B4" s="478" t="s">
        <v>456</v>
      </c>
      <c r="C4" s="102"/>
      <c r="D4" s="101"/>
      <c r="E4" s="101"/>
      <c r="F4" s="101"/>
      <c r="G4" s="101"/>
      <c r="H4" s="101"/>
      <c r="I4" s="101"/>
      <c r="J4" s="101"/>
      <c r="K4" s="319"/>
      <c r="L4" s="319"/>
      <c r="M4" s="319"/>
      <c r="N4" s="319"/>
      <c r="O4"/>
      <c r="P4" s="101" t="s">
        <v>235</v>
      </c>
      <c r="Q4" s="101"/>
      <c r="R4" s="101"/>
      <c r="S4" s="101"/>
      <c r="T4" s="101"/>
      <c r="U4" s="101"/>
      <c r="V4" s="101" t="s">
        <v>235</v>
      </c>
      <c r="W4" s="102"/>
      <c r="X4" s="102"/>
      <c r="Y4" s="102"/>
      <c r="Z4" s="101"/>
      <c r="AA4" s="101"/>
      <c r="AB4" s="101"/>
      <c r="AC4" s="101"/>
      <c r="AD4" s="23"/>
      <c r="AE4" s="23"/>
      <c r="AF4" s="23"/>
      <c r="AG4" s="102"/>
      <c r="AH4" s="102"/>
      <c r="AI4" s="102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</row>
    <row r="5" spans="1:189" s="103" customFormat="1" ht="15" customHeight="1" thickBot="1" x14ac:dyDescent="0.25">
      <c r="A5" s="99">
        <v>5</v>
      </c>
      <c r="B5" s="268" t="s">
        <v>15</v>
      </c>
      <c r="C5" s="203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  <c r="P5" s="101" t="s">
        <v>243</v>
      </c>
      <c r="Q5" s="101"/>
      <c r="R5" s="101"/>
      <c r="S5" s="101"/>
      <c r="T5" s="101"/>
      <c r="U5" s="101"/>
      <c r="V5" s="101" t="s">
        <v>242</v>
      </c>
      <c r="W5" s="102"/>
      <c r="X5" s="102"/>
      <c r="Y5" s="102"/>
      <c r="Z5" s="101"/>
      <c r="AA5" s="101"/>
      <c r="AB5" s="101"/>
      <c r="AC5" s="101"/>
      <c r="AD5" s="23"/>
      <c r="AE5" s="23"/>
      <c r="AF5" s="23"/>
      <c r="AG5" s="102"/>
      <c r="AH5" s="102"/>
      <c r="AI5" s="102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</row>
    <row r="6" spans="1:189" ht="15" customHeight="1" thickBot="1" x14ac:dyDescent="0.25">
      <c r="A6" s="99">
        <v>6</v>
      </c>
      <c r="B6" s="104"/>
      <c r="C6" s="216" t="s">
        <v>17</v>
      </c>
      <c r="D6" s="127" t="s">
        <v>272</v>
      </c>
      <c r="E6" s="105"/>
      <c r="F6" s="105"/>
      <c r="G6" s="105"/>
      <c r="H6" s="106"/>
      <c r="I6" s="350" t="s">
        <v>142</v>
      </c>
      <c r="P6" s="330"/>
      <c r="Q6" s="330"/>
      <c r="R6" s="330"/>
      <c r="S6" s="330"/>
      <c r="T6" s="330"/>
      <c r="U6" s="330"/>
      <c r="V6" s="482" t="str">
        <f>P16</f>
        <v>Projected Year 1</v>
      </c>
      <c r="W6" s="331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</row>
    <row r="7" spans="1:189" ht="15" customHeight="1" thickBot="1" x14ac:dyDescent="0.25">
      <c r="A7" s="99">
        <v>7</v>
      </c>
      <c r="B7" s="107" t="s">
        <v>140</v>
      </c>
      <c r="C7" s="217" t="s">
        <v>141</v>
      </c>
      <c r="D7" s="128" t="s">
        <v>142</v>
      </c>
      <c r="E7" s="108" t="s">
        <v>142</v>
      </c>
      <c r="F7" s="108" t="s">
        <v>142</v>
      </c>
      <c r="G7" s="108" t="s">
        <v>142</v>
      </c>
      <c r="H7" s="109" t="s">
        <v>142</v>
      </c>
      <c r="I7" s="338" t="s">
        <v>246</v>
      </c>
      <c r="P7" s="331"/>
      <c r="Q7" s="331"/>
      <c r="R7" s="331"/>
      <c r="S7" s="331"/>
      <c r="T7" s="331"/>
      <c r="U7" s="331"/>
      <c r="V7" s="325"/>
      <c r="W7" s="325"/>
      <c r="X7" s="332" t="s">
        <v>261</v>
      </c>
      <c r="Y7" s="333"/>
      <c r="Z7" s="334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</row>
    <row r="8" spans="1:189" ht="15" customHeight="1" x14ac:dyDescent="0.2">
      <c r="A8" s="99">
        <v>8</v>
      </c>
      <c r="B8" s="107" t="s">
        <v>143</v>
      </c>
      <c r="C8" s="218" t="s">
        <v>106</v>
      </c>
      <c r="D8" s="129" t="s">
        <v>102</v>
      </c>
      <c r="E8" s="110" t="s">
        <v>47</v>
      </c>
      <c r="F8" s="110" t="s">
        <v>103</v>
      </c>
      <c r="G8" s="110" t="s">
        <v>48</v>
      </c>
      <c r="H8" s="111" t="s">
        <v>105</v>
      </c>
      <c r="I8" s="338" t="s">
        <v>53</v>
      </c>
      <c r="P8" s="331"/>
      <c r="Q8" s="331"/>
      <c r="R8" s="331"/>
      <c r="S8" s="331"/>
      <c r="T8" s="331"/>
      <c r="U8" s="331"/>
      <c r="V8" s="326"/>
      <c r="W8" s="326"/>
      <c r="X8" s="147" t="s">
        <v>260</v>
      </c>
      <c r="Y8" s="351"/>
      <c r="Z8" s="351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</row>
    <row r="9" spans="1:189" ht="15" customHeight="1" thickBot="1" x14ac:dyDescent="0.25">
      <c r="A9" s="99">
        <v>9</v>
      </c>
      <c r="B9" s="113" t="s">
        <v>40</v>
      </c>
      <c r="C9" s="219" t="s">
        <v>18</v>
      </c>
      <c r="D9" s="130" t="s">
        <v>114</v>
      </c>
      <c r="E9" s="114" t="s">
        <v>114</v>
      </c>
      <c r="F9" s="114" t="s">
        <v>114</v>
      </c>
      <c r="G9" s="114" t="s">
        <v>114</v>
      </c>
      <c r="H9" s="115" t="s">
        <v>57</v>
      </c>
      <c r="I9" s="339" t="s">
        <v>263</v>
      </c>
      <c r="P9" s="331"/>
      <c r="Q9" s="331"/>
      <c r="R9" s="331"/>
      <c r="S9" s="331"/>
      <c r="T9" s="331"/>
      <c r="U9" s="331"/>
      <c r="V9" s="328" t="s">
        <v>240</v>
      </c>
      <c r="W9" s="328" t="s">
        <v>14</v>
      </c>
      <c r="X9" s="337" t="s">
        <v>264</v>
      </c>
      <c r="Y9" s="352"/>
      <c r="Z9" s="353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</row>
    <row r="10" spans="1:189" ht="15" customHeight="1" thickBot="1" x14ac:dyDescent="0.25">
      <c r="A10" s="99">
        <v>10</v>
      </c>
      <c r="B10" s="380" t="str">
        <f>'D1. Member Months'!B10</f>
        <v>Nursing Home Level of Care</v>
      </c>
      <c r="C10" s="220">
        <f>'D1. Member Months'!I10</f>
        <v>459639.52407499263</v>
      </c>
      <c r="D10" s="213">
        <f>'D5. Waiver Cost Projection'!O13</f>
        <v>3058.5884778144591</v>
      </c>
      <c r="E10" s="40">
        <f>'D5. Waiver Cost Projection'!S13</f>
        <v>0</v>
      </c>
      <c r="F10" s="40">
        <f>'D5. Waiver Cost Projection'!W13</f>
        <v>0</v>
      </c>
      <c r="G10" s="40">
        <f>'D5. Waiver Cost Projection'!AA13</f>
        <v>117.74621409465074</v>
      </c>
      <c r="H10" s="159">
        <f>'D5. Waiver Cost Projection'!AB13</f>
        <v>3176.33469190911</v>
      </c>
      <c r="I10" s="349">
        <f>H10-G10</f>
        <v>3058.5884778144591</v>
      </c>
      <c r="P10" s="331"/>
      <c r="Q10" s="331"/>
      <c r="R10" s="331"/>
      <c r="S10" s="331"/>
      <c r="T10" s="331"/>
      <c r="U10" s="331"/>
      <c r="V10" s="327"/>
      <c r="W10" s="327"/>
      <c r="X10" s="339" t="s">
        <v>262</v>
      </c>
      <c r="Y10" s="352"/>
      <c r="Z10" s="353"/>
      <c r="AH10" s="206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</row>
    <row r="11" spans="1:189" ht="15" customHeight="1" thickBot="1" x14ac:dyDescent="0.25">
      <c r="A11" s="99">
        <v>11</v>
      </c>
      <c r="B11" s="380" t="str">
        <f>'D1. Member Months'!B11</f>
        <v>Non-Nursing Home Level of Care</v>
      </c>
      <c r="C11" s="220">
        <f>'D1. Member Months'!I11</f>
        <v>16028.725544690078</v>
      </c>
      <c r="D11" s="213">
        <f>'D5. Waiver Cost Projection'!O14</f>
        <v>582.04640953238152</v>
      </c>
      <c r="E11" s="40">
        <f>'D5. Waiver Cost Projection'!S14</f>
        <v>0</v>
      </c>
      <c r="F11" s="40">
        <f>'D5. Waiver Cost Projection'!W14</f>
        <v>0</v>
      </c>
      <c r="G11" s="40">
        <f>'D5. Waiver Cost Projection'!AA14</f>
        <v>23.349307468893333</v>
      </c>
      <c r="H11" s="159">
        <f>'D5. Waiver Cost Projection'!AB14</f>
        <v>605.39571700127487</v>
      </c>
      <c r="I11" s="155">
        <f>H11-G11</f>
        <v>582.04640953238152</v>
      </c>
      <c r="P11" s="331"/>
      <c r="Q11" s="331"/>
      <c r="R11" s="331"/>
      <c r="S11" s="331"/>
      <c r="T11" s="331"/>
      <c r="U11" s="331"/>
      <c r="V11" s="392" t="s">
        <v>239</v>
      </c>
      <c r="W11" s="380" t="str">
        <f>'D1. Member Months'!B10</f>
        <v>Nursing Home Level of Care</v>
      </c>
      <c r="X11" s="367">
        <f>I10</f>
        <v>3058.5884778144591</v>
      </c>
      <c r="Y11" s="354"/>
      <c r="Z11" s="353"/>
      <c r="AH11" s="206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</row>
    <row r="12" spans="1:189" ht="15" customHeight="1" thickBot="1" x14ac:dyDescent="0.25">
      <c r="A12" s="99">
        <v>12</v>
      </c>
      <c r="B12" s="380"/>
      <c r="C12" s="220"/>
      <c r="D12" s="213"/>
      <c r="E12" s="40"/>
      <c r="F12" s="40"/>
      <c r="G12" s="40"/>
      <c r="H12" s="159"/>
      <c r="I12" s="155"/>
      <c r="P12" s="331"/>
      <c r="Q12" s="331"/>
      <c r="R12" s="331"/>
      <c r="S12" s="331"/>
      <c r="T12" s="331"/>
      <c r="U12" s="331"/>
      <c r="V12" s="392" t="s">
        <v>239</v>
      </c>
      <c r="W12" s="380" t="str">
        <f>'D1. Member Months'!B11</f>
        <v>Non-Nursing Home Level of Care</v>
      </c>
      <c r="X12" s="367">
        <f>I11</f>
        <v>582.04640953238152</v>
      </c>
      <c r="AH12" s="206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</row>
    <row r="13" spans="1:189" ht="15" customHeight="1" thickBot="1" x14ac:dyDescent="0.25">
      <c r="A13" s="99">
        <v>13</v>
      </c>
      <c r="B13" s="380"/>
      <c r="C13" s="221"/>
      <c r="D13" s="214"/>
      <c r="E13" s="118"/>
      <c r="F13" s="118"/>
      <c r="G13" s="118"/>
      <c r="H13" s="348"/>
      <c r="I13" s="155"/>
      <c r="P13" s="331"/>
      <c r="Q13" s="331"/>
      <c r="R13" s="331"/>
      <c r="S13" s="331"/>
      <c r="T13" s="331"/>
      <c r="U13" s="331"/>
      <c r="V13" s="392"/>
      <c r="W13" s="380"/>
      <c r="X13" s="367"/>
      <c r="AH13" s="206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</row>
    <row r="14" spans="1:189" ht="15" customHeight="1" thickTop="1" thickBot="1" x14ac:dyDescent="0.25">
      <c r="A14" s="99">
        <v>14</v>
      </c>
      <c r="B14" s="120" t="s">
        <v>64</v>
      </c>
      <c r="C14" s="222">
        <f>SUM(C10:C13)</f>
        <v>475668.24961968273</v>
      </c>
      <c r="D14" s="215"/>
      <c r="E14" s="207"/>
      <c r="F14" s="207"/>
      <c r="G14" s="207"/>
      <c r="H14" s="208"/>
      <c r="I14" s="208"/>
      <c r="J14" s="364"/>
      <c r="P14" s="331"/>
      <c r="Q14" s="331"/>
      <c r="R14" s="331"/>
      <c r="S14" s="331"/>
      <c r="T14" s="331"/>
      <c r="U14" s="331"/>
      <c r="V14" s="392"/>
      <c r="W14" s="380"/>
      <c r="X14" s="368"/>
      <c r="AH14" s="206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</row>
    <row r="15" spans="1:189" ht="15" customHeight="1" thickBot="1" x14ac:dyDescent="0.25">
      <c r="A15" s="99">
        <v>15</v>
      </c>
      <c r="B15" s="269" t="s">
        <v>276</v>
      </c>
      <c r="C15" s="223"/>
      <c r="D15" s="204">
        <f>SUMPRODUCT(D10:D13,$C$10:$C$13)/$C$14</f>
        <v>2975.135749691211</v>
      </c>
      <c r="E15" s="205">
        <f>SUMPRODUCT(E10:E13,$C$10:$C$13)/$C$14</f>
        <v>0</v>
      </c>
      <c r="F15" s="205">
        <f>SUMPRODUCT(F10:F13,$C$10:$C$13)/$C$14</f>
        <v>0</v>
      </c>
      <c r="G15" s="347">
        <f>SUMPRODUCT(G10:G13,$C$10:$C$13)/$C$14</f>
        <v>114.56529522991305</v>
      </c>
      <c r="H15" s="205">
        <f>SUMPRODUCT(H10:H13,$C$10:$C$13)/$C$14</f>
        <v>3089.7010449211243</v>
      </c>
      <c r="I15" s="205"/>
      <c r="J15" s="122"/>
      <c r="K15" s="123"/>
      <c r="L15" s="123"/>
      <c r="M15" s="123"/>
      <c r="N15" s="123"/>
      <c r="O15" s="124"/>
      <c r="P15" s="124"/>
      <c r="Q15" s="124"/>
      <c r="R15" s="123"/>
      <c r="S15" s="123"/>
      <c r="T15" s="123"/>
      <c r="U15" s="123"/>
      <c r="V15" s="320" t="s">
        <v>238</v>
      </c>
      <c r="W15" s="336" t="s">
        <v>24</v>
      </c>
      <c r="X15" s="205">
        <f>G15</f>
        <v>114.56529522991305</v>
      </c>
      <c r="Y15" s="124"/>
      <c r="Z15" s="124"/>
      <c r="AA15" s="124"/>
      <c r="AB15" s="124"/>
      <c r="AC15" s="124"/>
      <c r="AH15" s="206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</row>
    <row r="16" spans="1:189" ht="18" customHeight="1" thickBot="1" x14ac:dyDescent="0.25">
      <c r="A16" s="99">
        <v>16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481" t="s">
        <v>15</v>
      </c>
      <c r="Q16" s="479">
        <f>'D1. Member Months'!D6</f>
        <v>42005</v>
      </c>
      <c r="R16" s="103" t="s">
        <v>329</v>
      </c>
      <c r="S16" s="480">
        <f>'D1. Member Months'!F6</f>
        <v>42369</v>
      </c>
      <c r="T16" s="103"/>
      <c r="U16" s="363"/>
      <c r="V16" s="482" t="str">
        <f>P16</f>
        <v>Projected Year 1</v>
      </c>
      <c r="W16" s="331"/>
      <c r="X16" s="355" t="s">
        <v>258</v>
      </c>
      <c r="Y16" s="345"/>
      <c r="Z16" s="346"/>
      <c r="AA16" s="355" t="s">
        <v>258</v>
      </c>
      <c r="AB16" s="345"/>
      <c r="AC16" s="346"/>
      <c r="AD16" s="355" t="s">
        <v>258</v>
      </c>
      <c r="AE16" s="345"/>
      <c r="AF16" s="346"/>
      <c r="AG16" s="355" t="s">
        <v>258</v>
      </c>
      <c r="AH16" s="345"/>
      <c r="AI16" s="34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</row>
    <row r="17" spans="1:189" ht="15" customHeight="1" x14ac:dyDescent="0.2">
      <c r="A17" s="99">
        <v>17</v>
      </c>
      <c r="B17" s="147"/>
      <c r="C17" s="307" t="s">
        <v>136</v>
      </c>
      <c r="D17" s="105"/>
      <c r="E17" s="106"/>
      <c r="F17" s="307" t="s">
        <v>137</v>
      </c>
      <c r="G17" s="105"/>
      <c r="H17" s="106"/>
      <c r="I17" s="307" t="s">
        <v>138</v>
      </c>
      <c r="J17" s="105"/>
      <c r="K17" s="106"/>
      <c r="L17" s="307" t="s">
        <v>139</v>
      </c>
      <c r="M17" s="105"/>
      <c r="N17" s="106"/>
      <c r="O17" s="360"/>
      <c r="P17" s="325"/>
      <c r="Q17" s="325"/>
      <c r="R17" s="321"/>
      <c r="S17" s="321"/>
      <c r="T17" s="321"/>
      <c r="U17" s="321"/>
      <c r="V17" s="325"/>
      <c r="W17" s="325"/>
      <c r="X17" s="307" t="s">
        <v>250</v>
      </c>
      <c r="Y17" s="105"/>
      <c r="Z17" s="106"/>
      <c r="AA17" s="307" t="s">
        <v>251</v>
      </c>
      <c r="AB17" s="105"/>
      <c r="AC17" s="106"/>
      <c r="AD17" s="307" t="s">
        <v>252</v>
      </c>
      <c r="AE17" s="105"/>
      <c r="AF17" s="106"/>
      <c r="AG17" s="307" t="s">
        <v>253</v>
      </c>
      <c r="AH17" s="105"/>
      <c r="AI17" s="106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</row>
    <row r="18" spans="1:189" ht="15" customHeight="1" x14ac:dyDescent="0.2">
      <c r="A18" s="99">
        <v>18</v>
      </c>
      <c r="B18" s="148" t="s">
        <v>140</v>
      </c>
      <c r="C18" s="201" t="s">
        <v>106</v>
      </c>
      <c r="D18" s="112" t="s">
        <v>237</v>
      </c>
      <c r="E18" s="306" t="s">
        <v>236</v>
      </c>
      <c r="F18" s="107" t="s">
        <v>106</v>
      </c>
      <c r="G18" s="112" t="s">
        <v>237</v>
      </c>
      <c r="H18" s="306" t="s">
        <v>236</v>
      </c>
      <c r="I18" s="107" t="s">
        <v>106</v>
      </c>
      <c r="J18" s="112" t="s">
        <v>237</v>
      </c>
      <c r="K18" s="306" t="s">
        <v>236</v>
      </c>
      <c r="L18" s="107" t="s">
        <v>106</v>
      </c>
      <c r="M18" s="112" t="s">
        <v>237</v>
      </c>
      <c r="N18" s="306" t="s">
        <v>236</v>
      </c>
      <c r="O18" s="338"/>
      <c r="P18" s="326"/>
      <c r="Q18" s="326"/>
      <c r="R18" s="322"/>
      <c r="S18" s="322"/>
      <c r="T18" s="323"/>
      <c r="U18" s="324"/>
      <c r="V18" s="326"/>
      <c r="W18" s="326"/>
      <c r="X18" s="201" t="s">
        <v>106</v>
      </c>
      <c r="Y18" s="110" t="s">
        <v>249</v>
      </c>
      <c r="Z18" s="306" t="s">
        <v>249</v>
      </c>
      <c r="AA18" s="201" t="s">
        <v>106</v>
      </c>
      <c r="AB18" s="110" t="s">
        <v>249</v>
      </c>
      <c r="AC18" s="306" t="s">
        <v>249</v>
      </c>
      <c r="AD18" s="201" t="s">
        <v>106</v>
      </c>
      <c r="AE18" s="110" t="s">
        <v>249</v>
      </c>
      <c r="AF18" s="306" t="s">
        <v>249</v>
      </c>
      <c r="AG18" s="201" t="s">
        <v>106</v>
      </c>
      <c r="AH18" s="110" t="s">
        <v>249</v>
      </c>
      <c r="AI18" s="306" t="s">
        <v>249</v>
      </c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</row>
    <row r="19" spans="1:189" ht="15" customHeight="1" x14ac:dyDescent="0.2">
      <c r="A19" s="99">
        <v>19</v>
      </c>
      <c r="B19" s="148" t="s">
        <v>143</v>
      </c>
      <c r="C19" s="201" t="s">
        <v>144</v>
      </c>
      <c r="D19" s="112" t="s">
        <v>53</v>
      </c>
      <c r="E19" s="111" t="s">
        <v>48</v>
      </c>
      <c r="F19" s="107" t="s">
        <v>144</v>
      </c>
      <c r="G19" s="112" t="s">
        <v>53</v>
      </c>
      <c r="H19" s="111" t="s">
        <v>48</v>
      </c>
      <c r="I19" s="107" t="s">
        <v>144</v>
      </c>
      <c r="J19" s="112" t="s">
        <v>53</v>
      </c>
      <c r="K19" s="111" t="s">
        <v>48</v>
      </c>
      <c r="L19" s="107" t="s">
        <v>144</v>
      </c>
      <c r="M19" s="112" t="s">
        <v>53</v>
      </c>
      <c r="N19" s="111" t="s">
        <v>48</v>
      </c>
      <c r="O19" s="338" t="s">
        <v>174</v>
      </c>
      <c r="P19" s="328" t="s">
        <v>240</v>
      </c>
      <c r="Q19" s="328" t="s">
        <v>14</v>
      </c>
      <c r="R19" s="329" t="s">
        <v>136</v>
      </c>
      <c r="S19" s="329" t="s">
        <v>137</v>
      </c>
      <c r="T19" s="329" t="s">
        <v>138</v>
      </c>
      <c r="U19" s="329" t="s">
        <v>139</v>
      </c>
      <c r="V19" s="328" t="s">
        <v>240</v>
      </c>
      <c r="W19" s="328" t="s">
        <v>14</v>
      </c>
      <c r="X19" s="201" t="s">
        <v>244</v>
      </c>
      <c r="Y19" s="112" t="s">
        <v>247</v>
      </c>
      <c r="Z19" s="111" t="s">
        <v>248</v>
      </c>
      <c r="AA19" s="201" t="s">
        <v>244</v>
      </c>
      <c r="AB19" s="112" t="s">
        <v>247</v>
      </c>
      <c r="AC19" s="111" t="s">
        <v>248</v>
      </c>
      <c r="AD19" s="201" t="s">
        <v>244</v>
      </c>
      <c r="AE19" s="112" t="s">
        <v>247</v>
      </c>
      <c r="AF19" s="111" t="s">
        <v>248</v>
      </c>
      <c r="AG19" s="201" t="s">
        <v>244</v>
      </c>
      <c r="AH19" s="112" t="s">
        <v>247</v>
      </c>
      <c r="AI19" s="111" t="s">
        <v>248</v>
      </c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</row>
    <row r="20" spans="1:189" ht="15" customHeight="1" thickBot="1" x14ac:dyDescent="0.25">
      <c r="A20" s="99">
        <v>20</v>
      </c>
      <c r="B20" s="149" t="s">
        <v>40</v>
      </c>
      <c r="C20" s="113"/>
      <c r="D20" s="308" t="s">
        <v>145</v>
      </c>
      <c r="E20" s="115" t="s">
        <v>52</v>
      </c>
      <c r="F20" s="113"/>
      <c r="G20" s="308" t="s">
        <v>145</v>
      </c>
      <c r="H20" s="115" t="s">
        <v>52</v>
      </c>
      <c r="I20" s="113"/>
      <c r="J20" s="308" t="s">
        <v>145</v>
      </c>
      <c r="K20" s="115" t="s">
        <v>52</v>
      </c>
      <c r="L20" s="113"/>
      <c r="M20" s="308" t="s">
        <v>145</v>
      </c>
      <c r="N20" s="115" t="s">
        <v>52</v>
      </c>
      <c r="O20" s="339" t="s">
        <v>57</v>
      </c>
      <c r="P20" s="327"/>
      <c r="Q20" s="327"/>
      <c r="R20" s="424">
        <f>'D1. Member Months'!F9-1</f>
        <v>42094</v>
      </c>
      <c r="S20" s="424">
        <f>'D1. Member Months'!G9-1</f>
        <v>42185</v>
      </c>
      <c r="T20" s="425">
        <f>'D1. Member Months'!H9-1</f>
        <v>42277</v>
      </c>
      <c r="U20" s="425">
        <f>'D1. Member Months'!F6</f>
        <v>42369</v>
      </c>
      <c r="V20" s="327"/>
      <c r="W20" s="327"/>
      <c r="X20" s="488">
        <f>R20</f>
        <v>42094</v>
      </c>
      <c r="Y20" s="308" t="s">
        <v>245</v>
      </c>
      <c r="Z20" s="115"/>
      <c r="AA20" s="488">
        <f>S20</f>
        <v>42185</v>
      </c>
      <c r="AB20" s="308" t="s">
        <v>245</v>
      </c>
      <c r="AC20" s="115"/>
      <c r="AD20" s="488">
        <f>T20</f>
        <v>42277</v>
      </c>
      <c r="AE20" s="308" t="s">
        <v>245</v>
      </c>
      <c r="AF20" s="115"/>
      <c r="AG20" s="488">
        <f>U20</f>
        <v>42369</v>
      </c>
      <c r="AH20" s="308" t="s">
        <v>245</v>
      </c>
      <c r="AI20" s="115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</row>
    <row r="21" spans="1:189" ht="15" customHeight="1" thickBot="1" x14ac:dyDescent="0.25">
      <c r="A21" s="99">
        <v>21</v>
      </c>
      <c r="B21" s="380" t="str">
        <f>'D1. Member Months'!B10</f>
        <v>Nursing Home Level of Care</v>
      </c>
      <c r="C21" s="209">
        <f>'D1. Member Months'!E10</f>
        <v>111840.70837250099</v>
      </c>
      <c r="D21" s="569">
        <f>C21*($D10+$E10+$F10)</f>
        <v>342074701.97873861</v>
      </c>
      <c r="E21" s="570">
        <f>C21*$G10</f>
        <v>13168819.992525898</v>
      </c>
      <c r="F21" s="209">
        <f>'D1. Member Months'!F10</f>
        <v>112720.95455467502</v>
      </c>
      <c r="G21" s="569">
        <f>F21*($D10+$E10+$F10)</f>
        <v>344767012.80917627</v>
      </c>
      <c r="H21" s="570">
        <f>F21*$G10</f>
        <v>13272465.647948161</v>
      </c>
      <c r="I21" s="209">
        <f>'D1. Member Months'!G10</f>
        <v>116154.58247454933</v>
      </c>
      <c r="J21" s="569">
        <f>I21*($D10+$E10+$F10)</f>
        <v>355269067.6020059</v>
      </c>
      <c r="K21" s="570">
        <f>I21*$G10</f>
        <v>13676762.336123051</v>
      </c>
      <c r="L21" s="209">
        <f>'D1. Member Months'!H10</f>
        <v>118923.27867326737</v>
      </c>
      <c r="M21" s="569">
        <f>L21*($D10+$E10+$F10)</f>
        <v>363737369.89397359</v>
      </c>
      <c r="N21" s="570">
        <f>L21*$G10</f>
        <v>14002765.831500351</v>
      </c>
      <c r="O21" s="575">
        <f>D21+E21+G21+H21+J21+K21+M21+N21</f>
        <v>1459968966.0919917</v>
      </c>
      <c r="P21" s="392" t="s">
        <v>239</v>
      </c>
      <c r="Q21" s="380" t="str">
        <f>'D1. Member Months'!B$10</f>
        <v>Nursing Home Level of Care</v>
      </c>
      <c r="R21" s="578">
        <f>D21</f>
        <v>342074701.97873861</v>
      </c>
      <c r="S21" s="578">
        <f>G21</f>
        <v>344767012.80917627</v>
      </c>
      <c r="T21" s="578">
        <f>J21</f>
        <v>355269067.6020059</v>
      </c>
      <c r="U21" s="578">
        <f>M21</f>
        <v>363737369.89397359</v>
      </c>
      <c r="V21" s="392" t="s">
        <v>239</v>
      </c>
      <c r="W21" s="380" t="str">
        <f>'D1. Member Months'!B10</f>
        <v>Nursing Home Level of Care</v>
      </c>
      <c r="X21" s="340"/>
      <c r="Y21" s="341"/>
      <c r="Z21" s="342" t="e">
        <f>Y21/X21</f>
        <v>#DIV/0!</v>
      </c>
      <c r="AA21" s="340"/>
      <c r="AB21" s="341"/>
      <c r="AC21" s="342" t="e">
        <f>AB21/AA21</f>
        <v>#DIV/0!</v>
      </c>
      <c r="AD21" s="340"/>
      <c r="AE21" s="341"/>
      <c r="AF21" s="342" t="e">
        <f>AE21/AD21</f>
        <v>#DIV/0!</v>
      </c>
      <c r="AG21" s="340"/>
      <c r="AH21" s="341"/>
      <c r="AI21" s="342" t="e">
        <f>AH21/AG21</f>
        <v>#DIV/0!</v>
      </c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</row>
    <row r="22" spans="1:189" ht="15" customHeight="1" thickBot="1" x14ac:dyDescent="0.25">
      <c r="A22" s="99">
        <v>22</v>
      </c>
      <c r="B22" s="380" t="str">
        <f>'D1. Member Months'!B11</f>
        <v>Non-Nursing Home Level of Care</v>
      </c>
      <c r="C22" s="209">
        <f>'D1. Member Months'!E11</f>
        <v>3960.1567144051305</v>
      </c>
      <c r="D22" s="569">
        <f>C22*($D11+$E11+$F11)</f>
        <v>2304994.9968050593</v>
      </c>
      <c r="E22" s="570">
        <f>C22*$G11</f>
        <v>92466.916749647789</v>
      </c>
      <c r="F22" s="209">
        <f>'D1. Member Months'!F11</f>
        <v>3991.1474385212878</v>
      </c>
      <c r="G22" s="569">
        <f>F22*($D11+$E11+$F11)</f>
        <v>2323033.0365056768</v>
      </c>
      <c r="H22" s="570">
        <f>F22*$G11</f>
        <v>93190.528695719593</v>
      </c>
      <c r="I22" s="209">
        <f>'D1. Member Months'!G11</f>
        <v>4023.0641185188533</v>
      </c>
      <c r="J22" s="569">
        <f>I22*($D11+$E11+$F11)</f>
        <v>2341610.025502454</v>
      </c>
      <c r="K22" s="570">
        <f>I22*$G11</f>
        <v>93935.76107036903</v>
      </c>
      <c r="L22" s="209">
        <f>'D1. Member Months'!H11</f>
        <v>4054.3572732448074</v>
      </c>
      <c r="M22" s="569">
        <f>L22*($D11+$E11+$F11)</f>
        <v>2359824.0938536366</v>
      </c>
      <c r="N22" s="570">
        <f>L22*$G11</f>
        <v>94666.434561736984</v>
      </c>
      <c r="O22" s="575">
        <f>D22+E22+G22+H22+J22+K22+M22+N22</f>
        <v>9703721.7937442996</v>
      </c>
      <c r="P22" s="392" t="s">
        <v>239</v>
      </c>
      <c r="Q22" s="380" t="str">
        <f>'D1. Member Months'!B$11</f>
        <v>Non-Nursing Home Level of Care</v>
      </c>
      <c r="R22" s="578">
        <f>D22</f>
        <v>2304994.9968050593</v>
      </c>
      <c r="S22" s="578">
        <f>G22</f>
        <v>2323033.0365056768</v>
      </c>
      <c r="T22" s="578">
        <f>J22</f>
        <v>2341610.025502454</v>
      </c>
      <c r="U22" s="578">
        <f>M22</f>
        <v>2359824.0938536366</v>
      </c>
      <c r="V22" s="392" t="s">
        <v>239</v>
      </c>
      <c r="W22" s="380" t="str">
        <f>'D1. Member Months'!B11</f>
        <v>Non-Nursing Home Level of Care</v>
      </c>
      <c r="X22" s="340"/>
      <c r="Y22" s="341"/>
      <c r="Z22" s="342" t="e">
        <f>Y22/X22</f>
        <v>#DIV/0!</v>
      </c>
      <c r="AA22" s="340"/>
      <c r="AB22" s="341"/>
      <c r="AC22" s="342" t="e">
        <f>AB22/AA22</f>
        <v>#DIV/0!</v>
      </c>
      <c r="AD22" s="340"/>
      <c r="AE22" s="341"/>
      <c r="AF22" s="342" t="e">
        <f>AE22/AD22</f>
        <v>#DIV/0!</v>
      </c>
      <c r="AG22" s="340"/>
      <c r="AH22" s="341"/>
      <c r="AI22" s="342" t="e">
        <f>AH22/AG22</f>
        <v>#DIV/0!</v>
      </c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</row>
    <row r="23" spans="1:189" ht="15" customHeight="1" thickBot="1" x14ac:dyDescent="0.25">
      <c r="A23" s="99">
        <v>23</v>
      </c>
      <c r="B23" s="380"/>
      <c r="C23" s="209"/>
      <c r="D23" s="569"/>
      <c r="E23" s="570"/>
      <c r="F23" s="209"/>
      <c r="G23" s="569"/>
      <c r="H23" s="570"/>
      <c r="I23" s="209"/>
      <c r="J23" s="569"/>
      <c r="K23" s="570"/>
      <c r="L23" s="209"/>
      <c r="M23" s="569"/>
      <c r="N23" s="570"/>
      <c r="O23" s="575"/>
      <c r="P23" s="392"/>
      <c r="Q23" s="380"/>
      <c r="R23" s="578"/>
      <c r="S23" s="578"/>
      <c r="T23" s="578"/>
      <c r="U23" s="578"/>
      <c r="V23" s="392"/>
      <c r="W23" s="380"/>
      <c r="X23" s="340"/>
      <c r="Y23" s="341"/>
      <c r="Z23" s="342"/>
      <c r="AA23" s="340"/>
      <c r="AB23" s="341"/>
      <c r="AC23" s="342"/>
      <c r="AD23" s="340"/>
      <c r="AE23" s="341"/>
      <c r="AF23" s="342"/>
      <c r="AG23" s="340"/>
      <c r="AH23" s="341"/>
      <c r="AI23" s="34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</row>
    <row r="24" spans="1:189" ht="15" customHeight="1" thickBot="1" x14ac:dyDescent="0.25">
      <c r="A24" s="99">
        <v>24</v>
      </c>
      <c r="B24" s="380"/>
      <c r="C24" s="211"/>
      <c r="D24" s="571"/>
      <c r="E24" s="572"/>
      <c r="F24" s="211"/>
      <c r="G24" s="571"/>
      <c r="H24" s="572"/>
      <c r="I24" s="211"/>
      <c r="J24" s="571"/>
      <c r="K24" s="572"/>
      <c r="L24" s="211"/>
      <c r="M24" s="571"/>
      <c r="N24" s="572"/>
      <c r="O24" s="576"/>
      <c r="P24" s="392"/>
      <c r="Q24" s="380"/>
      <c r="R24" s="578"/>
      <c r="S24" s="578"/>
      <c r="T24" s="578"/>
      <c r="U24" s="578"/>
      <c r="V24" s="392"/>
      <c r="W24" s="380"/>
      <c r="X24" s="343"/>
      <c r="Y24" s="344"/>
      <c r="Z24" s="356"/>
      <c r="AA24" s="343"/>
      <c r="AB24" s="344"/>
      <c r="AC24" s="342"/>
      <c r="AD24" s="343"/>
      <c r="AE24" s="344"/>
      <c r="AF24" s="342"/>
      <c r="AG24" s="343"/>
      <c r="AH24" s="344"/>
      <c r="AI24" s="34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</row>
    <row r="25" spans="1:189" ht="15" customHeight="1" thickTop="1" thickBot="1" x14ac:dyDescent="0.25">
      <c r="A25" s="99">
        <v>25</v>
      </c>
      <c r="B25" s="121" t="s">
        <v>64</v>
      </c>
      <c r="C25" s="305">
        <f>SUM(C21:C24)</f>
        <v>115800.86508690612</v>
      </c>
      <c r="D25" s="573">
        <f t="shared" ref="D25:O25" si="0">SUM(D21:D24)</f>
        <v>344379696.97554368</v>
      </c>
      <c r="E25" s="574">
        <f t="shared" si="0"/>
        <v>13261286.909275545</v>
      </c>
      <c r="F25" s="305">
        <f t="shared" si="0"/>
        <v>116712.10199319631</v>
      </c>
      <c r="G25" s="573">
        <f t="shared" si="0"/>
        <v>347090045.84568197</v>
      </c>
      <c r="H25" s="574">
        <f t="shared" si="0"/>
        <v>13365656.17664388</v>
      </c>
      <c r="I25" s="305">
        <f t="shared" si="0"/>
        <v>120177.64659306819</v>
      </c>
      <c r="J25" s="573">
        <f t="shared" si="0"/>
        <v>357610677.62750834</v>
      </c>
      <c r="K25" s="574">
        <f t="shared" si="0"/>
        <v>13770698.09719342</v>
      </c>
      <c r="L25" s="305">
        <f t="shared" si="0"/>
        <v>122977.63594651218</v>
      </c>
      <c r="M25" s="573">
        <f t="shared" si="0"/>
        <v>366097193.98782724</v>
      </c>
      <c r="N25" s="574">
        <f t="shared" si="0"/>
        <v>14097432.266062088</v>
      </c>
      <c r="O25" s="577">
        <f t="shared" si="0"/>
        <v>1469672687.885736</v>
      </c>
      <c r="P25" s="320" t="s">
        <v>238</v>
      </c>
      <c r="Q25" s="320"/>
      <c r="R25" s="578">
        <f>E25</f>
        <v>13261286.909275545</v>
      </c>
      <c r="S25" s="578">
        <f>H25</f>
        <v>13365656.17664388</v>
      </c>
      <c r="T25" s="578">
        <f>K25</f>
        <v>13770698.09719342</v>
      </c>
      <c r="U25" s="578">
        <f>N25</f>
        <v>14097432.266062088</v>
      </c>
      <c r="V25" s="320" t="s">
        <v>238</v>
      </c>
      <c r="W25" s="336" t="s">
        <v>24</v>
      </c>
      <c r="X25" s="357"/>
      <c r="Y25" s="358"/>
      <c r="Z25" s="359" t="e">
        <f>Y25/X25</f>
        <v>#DIV/0!</v>
      </c>
      <c r="AA25" s="357"/>
      <c r="AB25" s="358"/>
      <c r="AC25" s="359" t="e">
        <f>AB25/AA25</f>
        <v>#DIV/0!</v>
      </c>
      <c r="AD25" s="357"/>
      <c r="AE25" s="358"/>
      <c r="AF25" s="359" t="e">
        <f>AE25/AD25</f>
        <v>#DIV/0!</v>
      </c>
      <c r="AG25" s="357"/>
      <c r="AH25" s="358"/>
      <c r="AI25" s="359" t="e">
        <f>AH25/AG25</f>
        <v>#DIV/0!</v>
      </c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</row>
    <row r="26" spans="1:189" ht="21" customHeight="1" x14ac:dyDescent="0.2">
      <c r="A26" s="99">
        <v>26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562"/>
      <c r="P26" s="335"/>
      <c r="Q26" s="331"/>
      <c r="R26" s="103"/>
      <c r="S26" s="103"/>
      <c r="T26" s="103"/>
      <c r="U26" s="366"/>
      <c r="V26" s="331"/>
      <c r="W26" s="331"/>
      <c r="X26" s="331"/>
      <c r="Y26" s="331"/>
      <c r="Z26" s="103"/>
      <c r="AA26" s="103"/>
      <c r="AB26" s="103"/>
      <c r="AC26" s="103"/>
      <c r="AD26" s="103"/>
      <c r="AE26" s="103"/>
      <c r="AF26" s="103"/>
      <c r="AG26" s="335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</row>
    <row r="27" spans="1:189" s="103" customFormat="1" ht="15" customHeight="1" thickBot="1" x14ac:dyDescent="0.25">
      <c r="A27" s="99">
        <v>27</v>
      </c>
      <c r="B27" s="268" t="s">
        <v>16</v>
      </c>
      <c r="C27" s="203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2"/>
      <c r="P27" s="102"/>
      <c r="Q27" s="102"/>
      <c r="R27" s="101"/>
      <c r="S27" s="101"/>
      <c r="T27" s="101"/>
      <c r="U27" s="101"/>
      <c r="V27" s="102"/>
      <c r="W27" s="102"/>
      <c r="X27" s="102"/>
      <c r="Y27" s="102"/>
      <c r="Z27" s="101"/>
      <c r="AA27" s="101"/>
      <c r="AB27" s="101"/>
      <c r="AC27" s="101"/>
      <c r="AD27" s="101"/>
      <c r="AE27" s="101"/>
      <c r="AF27" s="101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</row>
    <row r="28" spans="1:189" ht="15" customHeight="1" thickBot="1" x14ac:dyDescent="0.25">
      <c r="A28" s="99">
        <v>28</v>
      </c>
      <c r="B28" s="104"/>
      <c r="C28" s="216" t="s">
        <v>17</v>
      </c>
      <c r="D28" s="127" t="s">
        <v>273</v>
      </c>
      <c r="E28" s="105"/>
      <c r="F28" s="105"/>
      <c r="G28" s="105"/>
      <c r="H28" s="106"/>
      <c r="I28" s="350" t="s">
        <v>142</v>
      </c>
      <c r="P28" s="331"/>
      <c r="Q28" s="331"/>
      <c r="R28" s="331"/>
      <c r="S28" s="331"/>
      <c r="T28" s="331"/>
      <c r="U28" s="331"/>
      <c r="V28" s="482" t="str">
        <f>P38</f>
        <v>Projected Year 2</v>
      </c>
      <c r="W28" s="331"/>
      <c r="X28" s="23"/>
      <c r="Y28" s="23"/>
      <c r="Z28" s="23"/>
      <c r="AA28" s="331"/>
      <c r="AB28" s="331"/>
      <c r="AC28" s="331"/>
      <c r="AD28" s="331"/>
      <c r="AE28" s="331"/>
      <c r="AF28" s="331"/>
      <c r="AG28" s="331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</row>
    <row r="29" spans="1:189" ht="15" customHeight="1" thickBot="1" x14ac:dyDescent="0.25">
      <c r="A29" s="99">
        <v>29</v>
      </c>
      <c r="B29" s="107" t="s">
        <v>140</v>
      </c>
      <c r="C29" s="217" t="s">
        <v>150</v>
      </c>
      <c r="D29" s="128" t="s">
        <v>142</v>
      </c>
      <c r="E29" s="108" t="s">
        <v>142</v>
      </c>
      <c r="F29" s="108" t="s">
        <v>142</v>
      </c>
      <c r="G29" s="108" t="s">
        <v>142</v>
      </c>
      <c r="H29" s="109" t="s">
        <v>142</v>
      </c>
      <c r="I29" s="338" t="s">
        <v>246</v>
      </c>
      <c r="P29" s="331"/>
      <c r="Q29" s="331"/>
      <c r="R29" s="331"/>
      <c r="S29" s="331"/>
      <c r="T29" s="331"/>
      <c r="U29" s="331"/>
      <c r="V29" s="325"/>
      <c r="W29" s="325"/>
      <c r="X29" s="332" t="s">
        <v>261</v>
      </c>
      <c r="Y29" s="333"/>
      <c r="Z29" s="334"/>
      <c r="AA29" s="331"/>
      <c r="AB29" s="331"/>
      <c r="AC29" s="331"/>
      <c r="AD29" s="331"/>
      <c r="AE29" s="331"/>
      <c r="AF29" s="331"/>
      <c r="AG29" s="331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</row>
    <row r="30" spans="1:189" ht="15" customHeight="1" x14ac:dyDescent="0.2">
      <c r="A30" s="99">
        <v>30</v>
      </c>
      <c r="B30" s="107" t="s">
        <v>143</v>
      </c>
      <c r="C30" s="218" t="s">
        <v>106</v>
      </c>
      <c r="D30" s="129" t="s">
        <v>102</v>
      </c>
      <c r="E30" s="110" t="s">
        <v>47</v>
      </c>
      <c r="F30" s="110" t="s">
        <v>103</v>
      </c>
      <c r="G30" s="110" t="s">
        <v>48</v>
      </c>
      <c r="H30" s="111" t="s">
        <v>105</v>
      </c>
      <c r="I30" s="338" t="s">
        <v>53</v>
      </c>
      <c r="P30" s="331"/>
      <c r="Q30" s="331"/>
      <c r="R30" s="331"/>
      <c r="S30" s="331"/>
      <c r="T30" s="331"/>
      <c r="U30" s="331"/>
      <c r="V30" s="326"/>
      <c r="W30" s="326"/>
      <c r="X30" s="147" t="s">
        <v>463</v>
      </c>
      <c r="Y30" s="351"/>
      <c r="Z30" s="351"/>
      <c r="AA30" s="331"/>
      <c r="AB30" s="331"/>
      <c r="AC30" s="331"/>
      <c r="AD30" s="331"/>
      <c r="AE30" s="331"/>
      <c r="AF30" s="331"/>
      <c r="AG30" s="331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</row>
    <row r="31" spans="1:189" ht="15" customHeight="1" thickBot="1" x14ac:dyDescent="0.25">
      <c r="A31" s="99">
        <v>31</v>
      </c>
      <c r="B31" s="113" t="s">
        <v>40</v>
      </c>
      <c r="C31" s="219" t="s">
        <v>19</v>
      </c>
      <c r="D31" s="130" t="s">
        <v>114</v>
      </c>
      <c r="E31" s="114" t="s">
        <v>114</v>
      </c>
      <c r="F31" s="114" t="s">
        <v>114</v>
      </c>
      <c r="G31" s="114" t="s">
        <v>114</v>
      </c>
      <c r="H31" s="115" t="s">
        <v>57</v>
      </c>
      <c r="I31" s="339" t="s">
        <v>263</v>
      </c>
      <c r="P31" s="331"/>
      <c r="Q31" s="331"/>
      <c r="R31" s="331"/>
      <c r="S31" s="331"/>
      <c r="T31" s="331"/>
      <c r="U31" s="331"/>
      <c r="V31" s="328" t="s">
        <v>240</v>
      </c>
      <c r="W31" s="328" t="s">
        <v>14</v>
      </c>
      <c r="X31" s="337" t="s">
        <v>264</v>
      </c>
      <c r="Y31" s="352"/>
      <c r="Z31" s="353"/>
      <c r="AA31" s="331"/>
      <c r="AB31" s="331"/>
      <c r="AC31" s="331"/>
      <c r="AD31" s="331"/>
      <c r="AE31" s="331"/>
      <c r="AF31" s="331"/>
      <c r="AG31" s="3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</row>
    <row r="32" spans="1:189" ht="15" customHeight="1" thickBot="1" x14ac:dyDescent="0.25">
      <c r="A32" s="99">
        <v>32</v>
      </c>
      <c r="B32" s="380" t="str">
        <f>'D1. Member Months'!B10</f>
        <v>Nursing Home Level of Care</v>
      </c>
      <c r="C32" s="220">
        <f>'D1. Member Months'!N10</f>
        <v>486374.03296759416</v>
      </c>
      <c r="D32" s="213">
        <f>'D5. Waiver Cost Projection'!O30</f>
        <v>3135.2886768993676</v>
      </c>
      <c r="E32" s="40">
        <f>'D5. Waiver Cost Projection'!S30</f>
        <v>0</v>
      </c>
      <c r="F32" s="40">
        <f>'D5. Waiver Cost Projection'!W30</f>
        <v>0</v>
      </c>
      <c r="G32" s="40">
        <f>'D5. Waiver Cost Projection'!AA30</f>
        <v>121.17197143201784</v>
      </c>
      <c r="H32" s="159">
        <f>'D5. Waiver Cost Projection'!AB30</f>
        <v>3256.4606483313855</v>
      </c>
      <c r="I32" s="349">
        <f>H32-G32</f>
        <v>3135.2886768993676</v>
      </c>
      <c r="P32" s="331"/>
      <c r="Q32" s="331"/>
      <c r="R32" s="331"/>
      <c r="S32" s="331"/>
      <c r="T32" s="331"/>
      <c r="U32" s="331"/>
      <c r="V32" s="327"/>
      <c r="W32" s="327"/>
      <c r="X32" s="339" t="s">
        <v>262</v>
      </c>
      <c r="Y32" s="352"/>
      <c r="Z32" s="353"/>
      <c r="AA32" s="331"/>
      <c r="AB32" s="331"/>
      <c r="AC32" s="331"/>
      <c r="AD32" s="331"/>
      <c r="AE32" s="331"/>
      <c r="AF32" s="331"/>
      <c r="AG32" s="331"/>
      <c r="AH32" s="206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</row>
    <row r="33" spans="1:189" ht="15" customHeight="1" thickBot="1" x14ac:dyDescent="0.25">
      <c r="A33" s="99">
        <v>33</v>
      </c>
      <c r="B33" s="380" t="str">
        <f>'D1. Member Months'!B11</f>
        <v>Non-Nursing Home Level of Care</v>
      </c>
      <c r="C33" s="220">
        <f>'D1. Member Months'!N11</f>
        <v>16465.567298732218</v>
      </c>
      <c r="D33" s="213">
        <f>'D5. Waiver Cost Projection'!O31</f>
        <v>598.23730427105954</v>
      </c>
      <c r="E33" s="40">
        <f>'D5. Waiver Cost Projection'!S31</f>
        <v>0</v>
      </c>
      <c r="F33" s="40">
        <f>'D5. Waiver Cost Projection'!W31</f>
        <v>0</v>
      </c>
      <c r="G33" s="40">
        <f>'D5. Waiver Cost Projection'!AA31</f>
        <v>24.028641934116159</v>
      </c>
      <c r="H33" s="159">
        <f>'D5. Waiver Cost Projection'!AB31</f>
        <v>622.26594620517574</v>
      </c>
      <c r="I33" s="155">
        <f>H33-G33</f>
        <v>598.23730427105954</v>
      </c>
      <c r="P33" s="331"/>
      <c r="Q33" s="331"/>
      <c r="R33" s="331"/>
      <c r="S33" s="331"/>
      <c r="T33" s="331"/>
      <c r="U33" s="331"/>
      <c r="V33" s="392" t="s">
        <v>239</v>
      </c>
      <c r="W33" s="380" t="str">
        <f>'D1. Member Months'!B10</f>
        <v>Nursing Home Level of Care</v>
      </c>
      <c r="X33" s="367">
        <f>I32</f>
        <v>3135.2886768993676</v>
      </c>
      <c r="Y33" s="354"/>
      <c r="Z33" s="353"/>
      <c r="AA33" s="331"/>
      <c r="AB33" s="331"/>
      <c r="AC33" s="331"/>
      <c r="AD33" s="331"/>
      <c r="AE33" s="331"/>
      <c r="AF33" s="331"/>
      <c r="AG33" s="331"/>
      <c r="AH33" s="206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</row>
    <row r="34" spans="1:189" ht="15" customHeight="1" thickBot="1" x14ac:dyDescent="0.25">
      <c r="A34" s="99">
        <v>34</v>
      </c>
      <c r="B34" s="380"/>
      <c r="C34" s="220"/>
      <c r="D34" s="213"/>
      <c r="E34" s="40"/>
      <c r="F34" s="40"/>
      <c r="G34" s="40"/>
      <c r="H34" s="159"/>
      <c r="I34" s="155"/>
      <c r="P34" s="331"/>
      <c r="Q34" s="331"/>
      <c r="R34" s="331"/>
      <c r="S34" s="331"/>
      <c r="T34" s="331"/>
      <c r="U34" s="331"/>
      <c r="V34" s="392" t="s">
        <v>239</v>
      </c>
      <c r="W34" s="380" t="str">
        <f>'D1. Member Months'!B11</f>
        <v>Non-Nursing Home Level of Care</v>
      </c>
      <c r="X34" s="367">
        <f>I33</f>
        <v>598.23730427105954</v>
      </c>
      <c r="AA34" s="331"/>
      <c r="AB34" s="331"/>
      <c r="AC34" s="331"/>
      <c r="AD34" s="331"/>
      <c r="AE34" s="331"/>
      <c r="AF34" s="331"/>
      <c r="AG34" s="331"/>
      <c r="AH34" s="206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</row>
    <row r="35" spans="1:189" ht="15" customHeight="1" thickBot="1" x14ac:dyDescent="0.25">
      <c r="A35" s="99">
        <v>35</v>
      </c>
      <c r="B35" s="380"/>
      <c r="C35" s="221"/>
      <c r="D35" s="214"/>
      <c r="E35" s="118"/>
      <c r="F35" s="118"/>
      <c r="G35" s="118"/>
      <c r="H35" s="348"/>
      <c r="I35" s="155"/>
      <c r="P35" s="331"/>
      <c r="Q35" s="331"/>
      <c r="R35" s="331"/>
      <c r="S35" s="331"/>
      <c r="T35" s="331"/>
      <c r="U35" s="331"/>
      <c r="V35" s="392"/>
      <c r="W35" s="380"/>
      <c r="X35" s="367"/>
      <c r="AA35" s="331"/>
      <c r="AB35" s="331"/>
      <c r="AC35" s="331"/>
      <c r="AD35" s="331"/>
      <c r="AE35" s="331"/>
      <c r="AF35" s="331"/>
      <c r="AG35" s="331"/>
      <c r="AH35" s="206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</row>
    <row r="36" spans="1:189" ht="15" customHeight="1" thickTop="1" thickBot="1" x14ac:dyDescent="0.25">
      <c r="A36" s="99">
        <v>36</v>
      </c>
      <c r="B36" s="120" t="s">
        <v>64</v>
      </c>
      <c r="C36" s="222">
        <f>SUM(C32:C35)</f>
        <v>502839.60026632639</v>
      </c>
      <c r="D36" s="215"/>
      <c r="E36" s="207"/>
      <c r="F36" s="207"/>
      <c r="G36" s="207"/>
      <c r="H36" s="208"/>
      <c r="I36" s="208"/>
      <c r="P36" s="331"/>
      <c r="Q36" s="331"/>
      <c r="R36" s="331"/>
      <c r="S36" s="331"/>
      <c r="T36" s="331"/>
      <c r="U36" s="331"/>
      <c r="V36" s="392"/>
      <c r="W36" s="381"/>
      <c r="X36" s="368"/>
      <c r="AA36" s="331"/>
      <c r="AB36" s="331"/>
      <c r="AC36" s="331"/>
      <c r="AD36" s="331"/>
      <c r="AE36" s="331"/>
      <c r="AF36" s="331"/>
      <c r="AG36" s="331"/>
      <c r="AH36" s="20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</row>
    <row r="37" spans="1:189" ht="15" customHeight="1" thickBot="1" x14ac:dyDescent="0.25">
      <c r="A37" s="99">
        <v>37</v>
      </c>
      <c r="B37" s="269" t="s">
        <v>278</v>
      </c>
      <c r="C37" s="223"/>
      <c r="D37" s="204">
        <f>SUMPRODUCT(D32:D35,$C32:$C35)/$C36</f>
        <v>3052.2125029181875</v>
      </c>
      <c r="E37" s="205">
        <f>SUMPRODUCT(E32:E35,$C32:$C35)/$C36</f>
        <v>0</v>
      </c>
      <c r="F37" s="205">
        <f>SUMPRODUCT(F32:F35,$C32:$C35)/$C36</f>
        <v>0</v>
      </c>
      <c r="G37" s="347">
        <f>SUMPRODUCT(G32:G35,$C32:$C35)/$C36</f>
        <v>117.99099676609366</v>
      </c>
      <c r="H37" s="205">
        <f>SUMPRODUCT(H32:H35,$C32:$C35)/$C36</f>
        <v>3170.2034996842813</v>
      </c>
      <c r="I37" s="205"/>
      <c r="J37" s="122"/>
      <c r="K37" s="123"/>
      <c r="L37" s="123"/>
      <c r="M37" s="123"/>
      <c r="N37" s="123"/>
      <c r="O37" s="124"/>
      <c r="P37" s="124"/>
      <c r="Q37" s="124"/>
      <c r="R37" s="123"/>
      <c r="S37" s="123"/>
      <c r="T37" s="123"/>
      <c r="U37" s="123"/>
      <c r="V37" s="320" t="s">
        <v>238</v>
      </c>
      <c r="W37" s="336" t="s">
        <v>24</v>
      </c>
      <c r="X37" s="205">
        <f>G37</f>
        <v>117.99099676609366</v>
      </c>
      <c r="Y37" s="124"/>
      <c r="Z37" s="124"/>
      <c r="AA37" s="123"/>
      <c r="AB37" s="123"/>
      <c r="AC37" s="123"/>
      <c r="AD37" s="123"/>
      <c r="AE37" s="123"/>
      <c r="AF37" s="123"/>
      <c r="AG37" s="331"/>
      <c r="AH37" s="206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</row>
    <row r="38" spans="1:189" ht="18" customHeight="1" thickBot="1" x14ac:dyDescent="0.25">
      <c r="A38" s="99">
        <v>38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481" t="s">
        <v>16</v>
      </c>
      <c r="Q38" s="479">
        <f>'D1. Member Months'!H6</f>
        <v>42370</v>
      </c>
      <c r="R38" s="426" t="s">
        <v>329</v>
      </c>
      <c r="S38" s="479">
        <f>'D1. Member Months'!J6</f>
        <v>42735</v>
      </c>
      <c r="T38" s="103"/>
      <c r="U38" s="363"/>
      <c r="V38" s="482" t="str">
        <f>P38</f>
        <v>Projected Year 2</v>
      </c>
      <c r="W38" s="331"/>
      <c r="X38" s="355" t="s">
        <v>258</v>
      </c>
      <c r="Y38" s="345"/>
      <c r="Z38" s="346"/>
      <c r="AA38" s="355" t="s">
        <v>258</v>
      </c>
      <c r="AB38" s="345"/>
      <c r="AC38" s="346"/>
      <c r="AD38" s="355" t="s">
        <v>258</v>
      </c>
      <c r="AE38" s="345"/>
      <c r="AF38" s="346"/>
      <c r="AG38" s="355" t="s">
        <v>258</v>
      </c>
      <c r="AH38" s="345"/>
      <c r="AI38" s="346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</row>
    <row r="39" spans="1:189" ht="15" customHeight="1" x14ac:dyDescent="0.2">
      <c r="A39" s="99">
        <v>39</v>
      </c>
      <c r="B39" s="147"/>
      <c r="C39" s="307" t="s">
        <v>146</v>
      </c>
      <c r="D39" s="105"/>
      <c r="E39" s="106"/>
      <c r="F39" s="307" t="s">
        <v>147</v>
      </c>
      <c r="G39" s="105"/>
      <c r="H39" s="106"/>
      <c r="I39" s="307" t="s">
        <v>148</v>
      </c>
      <c r="J39" s="105"/>
      <c r="K39" s="106"/>
      <c r="L39" s="307" t="s">
        <v>149</v>
      </c>
      <c r="M39" s="105"/>
      <c r="N39" s="106"/>
      <c r="O39" s="360"/>
      <c r="P39" s="325"/>
      <c r="Q39" s="325"/>
      <c r="R39" s="321"/>
      <c r="S39" s="321"/>
      <c r="T39" s="321"/>
      <c r="U39" s="321"/>
      <c r="V39" s="325"/>
      <c r="W39" s="325"/>
      <c r="X39" s="307" t="s">
        <v>254</v>
      </c>
      <c r="Y39" s="105"/>
      <c r="Z39" s="106"/>
      <c r="AA39" s="307" t="s">
        <v>255</v>
      </c>
      <c r="AB39" s="105"/>
      <c r="AC39" s="106"/>
      <c r="AD39" s="307" t="s">
        <v>256</v>
      </c>
      <c r="AE39" s="105"/>
      <c r="AF39" s="106"/>
      <c r="AG39" s="307" t="s">
        <v>257</v>
      </c>
      <c r="AH39" s="105"/>
      <c r="AI39" s="106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</row>
    <row r="40" spans="1:189" ht="15" customHeight="1" x14ac:dyDescent="0.2">
      <c r="A40" s="99">
        <v>40</v>
      </c>
      <c r="B40" s="148" t="s">
        <v>140</v>
      </c>
      <c r="C40" s="201" t="s">
        <v>106</v>
      </c>
      <c r="D40" s="112" t="s">
        <v>237</v>
      </c>
      <c r="E40" s="306" t="s">
        <v>236</v>
      </c>
      <c r="F40" s="107" t="s">
        <v>106</v>
      </c>
      <c r="G40" s="112" t="s">
        <v>237</v>
      </c>
      <c r="H40" s="306" t="s">
        <v>236</v>
      </c>
      <c r="I40" s="107" t="s">
        <v>106</v>
      </c>
      <c r="J40" s="112" t="s">
        <v>237</v>
      </c>
      <c r="K40" s="306" t="s">
        <v>236</v>
      </c>
      <c r="L40" s="107" t="s">
        <v>106</v>
      </c>
      <c r="M40" s="112" t="s">
        <v>237</v>
      </c>
      <c r="N40" s="306" t="s">
        <v>236</v>
      </c>
      <c r="O40" s="338"/>
      <c r="P40" s="326"/>
      <c r="Q40" s="326"/>
      <c r="R40" s="322"/>
      <c r="S40" s="322"/>
      <c r="T40" s="323"/>
      <c r="U40" s="324"/>
      <c r="V40" s="326"/>
      <c r="W40" s="326"/>
      <c r="X40" s="201" t="s">
        <v>106</v>
      </c>
      <c r="Y40" s="110" t="s">
        <v>249</v>
      </c>
      <c r="Z40" s="306" t="s">
        <v>249</v>
      </c>
      <c r="AA40" s="201" t="s">
        <v>106</v>
      </c>
      <c r="AB40" s="110" t="s">
        <v>249</v>
      </c>
      <c r="AC40" s="306" t="s">
        <v>249</v>
      </c>
      <c r="AD40" s="201" t="s">
        <v>106</v>
      </c>
      <c r="AE40" s="110" t="s">
        <v>249</v>
      </c>
      <c r="AF40" s="306" t="s">
        <v>249</v>
      </c>
      <c r="AG40" s="201" t="s">
        <v>106</v>
      </c>
      <c r="AH40" s="110" t="s">
        <v>249</v>
      </c>
      <c r="AI40" s="306" t="s">
        <v>249</v>
      </c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</row>
    <row r="41" spans="1:189" ht="15" customHeight="1" x14ac:dyDescent="0.2">
      <c r="A41" s="99">
        <v>41</v>
      </c>
      <c r="B41" s="148" t="s">
        <v>143</v>
      </c>
      <c r="C41" s="201" t="s">
        <v>144</v>
      </c>
      <c r="D41" s="112" t="s">
        <v>53</v>
      </c>
      <c r="E41" s="111" t="s">
        <v>48</v>
      </c>
      <c r="F41" s="107" t="s">
        <v>144</v>
      </c>
      <c r="G41" s="112" t="s">
        <v>53</v>
      </c>
      <c r="H41" s="111" t="s">
        <v>48</v>
      </c>
      <c r="I41" s="107" t="s">
        <v>144</v>
      </c>
      <c r="J41" s="112" t="s">
        <v>53</v>
      </c>
      <c r="K41" s="111" t="s">
        <v>48</v>
      </c>
      <c r="L41" s="107" t="s">
        <v>144</v>
      </c>
      <c r="M41" s="112" t="s">
        <v>53</v>
      </c>
      <c r="N41" s="111" t="s">
        <v>48</v>
      </c>
      <c r="O41" s="338" t="s">
        <v>175</v>
      </c>
      <c r="P41" s="328" t="s">
        <v>240</v>
      </c>
      <c r="Q41" s="328" t="s">
        <v>14</v>
      </c>
      <c r="R41" s="329" t="s">
        <v>146</v>
      </c>
      <c r="S41" s="329" t="s">
        <v>147</v>
      </c>
      <c r="T41" s="329" t="s">
        <v>148</v>
      </c>
      <c r="U41" s="329" t="s">
        <v>149</v>
      </c>
      <c r="V41" s="328" t="s">
        <v>240</v>
      </c>
      <c r="W41" s="328" t="s">
        <v>14</v>
      </c>
      <c r="X41" s="201" t="s">
        <v>244</v>
      </c>
      <c r="Y41" s="112" t="s">
        <v>247</v>
      </c>
      <c r="Z41" s="111" t="s">
        <v>248</v>
      </c>
      <c r="AA41" s="201" t="s">
        <v>244</v>
      </c>
      <c r="AB41" s="112" t="s">
        <v>247</v>
      </c>
      <c r="AC41" s="111" t="s">
        <v>248</v>
      </c>
      <c r="AD41" s="201" t="s">
        <v>244</v>
      </c>
      <c r="AE41" s="112" t="s">
        <v>247</v>
      </c>
      <c r="AF41" s="111" t="s">
        <v>248</v>
      </c>
      <c r="AG41" s="201" t="s">
        <v>244</v>
      </c>
      <c r="AH41" s="112" t="s">
        <v>247</v>
      </c>
      <c r="AI41" s="111" t="s">
        <v>248</v>
      </c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</row>
    <row r="42" spans="1:189" ht="15" customHeight="1" thickBot="1" x14ac:dyDescent="0.25">
      <c r="A42" s="99">
        <v>42</v>
      </c>
      <c r="B42" s="149" t="s">
        <v>40</v>
      </c>
      <c r="C42" s="113"/>
      <c r="D42" s="308" t="s">
        <v>145</v>
      </c>
      <c r="E42" s="115" t="s">
        <v>52</v>
      </c>
      <c r="F42" s="113"/>
      <c r="G42" s="308" t="s">
        <v>145</v>
      </c>
      <c r="H42" s="115" t="s">
        <v>52</v>
      </c>
      <c r="I42" s="113"/>
      <c r="J42" s="308" t="s">
        <v>145</v>
      </c>
      <c r="K42" s="115" t="s">
        <v>52</v>
      </c>
      <c r="L42" s="113"/>
      <c r="M42" s="308" t="s">
        <v>145</v>
      </c>
      <c r="N42" s="115" t="s">
        <v>52</v>
      </c>
      <c r="O42" s="339" t="s">
        <v>57</v>
      </c>
      <c r="P42" s="327"/>
      <c r="Q42" s="327"/>
      <c r="R42" s="424">
        <f>'D1. Member Months'!K9-1</f>
        <v>42460</v>
      </c>
      <c r="S42" s="424">
        <f>'D1. Member Months'!L9-1</f>
        <v>42551</v>
      </c>
      <c r="T42" s="425">
        <f>'D1. Member Months'!M9-1</f>
        <v>42643</v>
      </c>
      <c r="U42" s="425">
        <f>'D1. Member Months'!J6</f>
        <v>42735</v>
      </c>
      <c r="V42" s="327"/>
      <c r="W42" s="327"/>
      <c r="X42" s="488">
        <f>R42</f>
        <v>42460</v>
      </c>
      <c r="Y42" s="308" t="s">
        <v>245</v>
      </c>
      <c r="Z42" s="115"/>
      <c r="AA42" s="488">
        <f>S42</f>
        <v>42551</v>
      </c>
      <c r="AB42" s="308" t="s">
        <v>245</v>
      </c>
      <c r="AC42" s="115"/>
      <c r="AD42" s="488">
        <f>T42</f>
        <v>42643</v>
      </c>
      <c r="AE42" s="308" t="s">
        <v>245</v>
      </c>
      <c r="AF42" s="115"/>
      <c r="AG42" s="488">
        <f>U42</f>
        <v>42735</v>
      </c>
      <c r="AH42" s="308" t="s">
        <v>245</v>
      </c>
      <c r="AI42" s="115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</row>
    <row r="43" spans="1:189" ht="15" customHeight="1" thickBot="1" x14ac:dyDescent="0.25">
      <c r="A43" s="99">
        <v>43</v>
      </c>
      <c r="B43" s="380" t="str">
        <f>'D1. Member Months'!B10</f>
        <v>Nursing Home Level of Care</v>
      </c>
      <c r="C43" s="209">
        <f>'D1. Member Months'!J10</f>
        <v>119797.69506903313</v>
      </c>
      <c r="D43" s="569">
        <f>C43*($D32+$E32+$F32)</f>
        <v>375600356.86858279</v>
      </c>
      <c r="E43" s="570">
        <f>C43*$G32</f>
        <v>14516122.884526467</v>
      </c>
      <c r="F43" s="209">
        <f>'D1. Member Months'!K10</f>
        <v>120373.51336199942</v>
      </c>
      <c r="G43" s="569">
        <f>F43*($D32+$E32+$F32)</f>
        <v>377405713.4424715</v>
      </c>
      <c r="H43" s="570">
        <f>F43*$G32</f>
        <v>14585895.92227181</v>
      </c>
      <c r="I43" s="209">
        <f>'D1. Member Months'!L10</f>
        <v>122351.75388439707</v>
      </c>
      <c r="J43" s="569">
        <f>I43*($D32+$E32+$F32)</f>
        <v>383608068.55252832</v>
      </c>
      <c r="K43" s="570">
        <f>I43*$G32</f>
        <v>14825603.22633744</v>
      </c>
      <c r="L43" s="209">
        <f>'D1. Member Months'!M10</f>
        <v>123851.07065216459</v>
      </c>
      <c r="M43" s="569">
        <f>L43*($D32+$E32+$F32)</f>
        <v>388308859.43759525</v>
      </c>
      <c r="N43" s="570">
        <f>L43*$G32</f>
        <v>15007278.394888911</v>
      </c>
      <c r="O43" s="575">
        <f>D43+E43+G43+H43+J43+K43+M43+N43</f>
        <v>1583857898.7292023</v>
      </c>
      <c r="P43" s="392" t="s">
        <v>239</v>
      </c>
      <c r="Q43" s="380" t="str">
        <f>'D1. Member Months'!B$10</f>
        <v>Nursing Home Level of Care</v>
      </c>
      <c r="R43" s="578">
        <f>D43</f>
        <v>375600356.86858279</v>
      </c>
      <c r="S43" s="578">
        <f>G43</f>
        <v>377405713.4424715</v>
      </c>
      <c r="T43" s="578">
        <f>J43</f>
        <v>383608068.55252832</v>
      </c>
      <c r="U43" s="578">
        <f>M43</f>
        <v>388308859.43759525</v>
      </c>
      <c r="V43" s="392" t="s">
        <v>239</v>
      </c>
      <c r="W43" s="380" t="str">
        <f>'D1. Member Months'!B10</f>
        <v>Nursing Home Level of Care</v>
      </c>
      <c r="X43" s="340"/>
      <c r="Y43" s="341"/>
      <c r="Z43" s="342" t="e">
        <f>Y43/X43</f>
        <v>#DIV/0!</v>
      </c>
      <c r="AA43" s="340"/>
      <c r="AB43" s="341"/>
      <c r="AC43" s="342" t="e">
        <f>AB43/AA43</f>
        <v>#DIV/0!</v>
      </c>
      <c r="AD43" s="340"/>
      <c r="AE43" s="341"/>
      <c r="AF43" s="342" t="e">
        <f>AE43/AD43</f>
        <v>#DIV/0!</v>
      </c>
      <c r="AG43" s="340"/>
      <c r="AH43" s="341"/>
      <c r="AI43" s="342" t="e">
        <f>AH43/AG43</f>
        <v>#DIV/0!</v>
      </c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</row>
    <row r="44" spans="1:189" ht="15" customHeight="1" thickBot="1" x14ac:dyDescent="0.25">
      <c r="A44" s="99">
        <v>44</v>
      </c>
      <c r="B44" s="380" t="str">
        <f>'D1. Member Months'!B11</f>
        <v>Non-Nursing Home Level of Care</v>
      </c>
      <c r="C44" s="209">
        <f>'D1. Member Months'!J11</f>
        <v>4081.4353061657966</v>
      </c>
      <c r="D44" s="569">
        <f>C44*($D33+$E33+$F33)</f>
        <v>2441666.8551173527</v>
      </c>
      <c r="E44" s="570">
        <f>C44*$G33</f>
        <v>98071.34754911768</v>
      </c>
      <c r="F44" s="209">
        <f>'D1. Member Months'!K11</f>
        <v>4105.5469987059832</v>
      </c>
      <c r="G44" s="569">
        <f>F44*($D33+$E33+$F33)</f>
        <v>2456091.3690640065</v>
      </c>
      <c r="H44" s="570">
        <f>F44*$G33</f>
        <v>98650.718775591333</v>
      </c>
      <c r="I44" s="209">
        <f>'D1. Member Months'!L11</f>
        <v>4127.8244814583286</v>
      </c>
      <c r="J44" s="569">
        <f>I44*($D33+$E33+$F33)</f>
        <v>2469418.5902917148</v>
      </c>
      <c r="K44" s="570">
        <f>I44*$G33</f>
        <v>99186.016431840879</v>
      </c>
      <c r="L44" s="209">
        <f>'D1. Member Months'!M11</f>
        <v>4150.7605124021093</v>
      </c>
      <c r="M44" s="569">
        <f>L44*($D33+$E33+$F33)</f>
        <v>2483139.7796141999</v>
      </c>
      <c r="N44" s="570">
        <f>L44*$G33</f>
        <v>99737.138106778802</v>
      </c>
      <c r="O44" s="575">
        <f>D44+E44+G44+H44+J44+K44+M44+N44</f>
        <v>10245961.814950602</v>
      </c>
      <c r="P44" s="392" t="s">
        <v>239</v>
      </c>
      <c r="Q44" s="380" t="str">
        <f>'D1. Member Months'!B$11</f>
        <v>Non-Nursing Home Level of Care</v>
      </c>
      <c r="R44" s="578">
        <f>D44</f>
        <v>2441666.8551173527</v>
      </c>
      <c r="S44" s="578">
        <f>G44</f>
        <v>2456091.3690640065</v>
      </c>
      <c r="T44" s="578">
        <f>J44</f>
        <v>2469418.5902917148</v>
      </c>
      <c r="U44" s="578">
        <f>M44</f>
        <v>2483139.7796141999</v>
      </c>
      <c r="V44" s="392" t="s">
        <v>239</v>
      </c>
      <c r="W44" s="380" t="str">
        <f>'D1. Member Months'!B11</f>
        <v>Non-Nursing Home Level of Care</v>
      </c>
      <c r="X44" s="340"/>
      <c r="Y44" s="341"/>
      <c r="Z44" s="342" t="e">
        <f>Y44/X44</f>
        <v>#DIV/0!</v>
      </c>
      <c r="AA44" s="340"/>
      <c r="AB44" s="341"/>
      <c r="AC44" s="342" t="e">
        <f>AB44/AA44</f>
        <v>#DIV/0!</v>
      </c>
      <c r="AD44" s="340"/>
      <c r="AE44" s="341"/>
      <c r="AF44" s="342" t="e">
        <f>AE44/AD44</f>
        <v>#DIV/0!</v>
      </c>
      <c r="AG44" s="340"/>
      <c r="AH44" s="341"/>
      <c r="AI44" s="342" t="e">
        <f>AH44/AG44</f>
        <v>#DIV/0!</v>
      </c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</row>
    <row r="45" spans="1:189" ht="15" customHeight="1" thickBot="1" x14ac:dyDescent="0.25">
      <c r="A45" s="99">
        <v>45</v>
      </c>
      <c r="B45" s="380"/>
      <c r="C45" s="209"/>
      <c r="D45" s="569"/>
      <c r="E45" s="570"/>
      <c r="F45" s="209"/>
      <c r="G45" s="569"/>
      <c r="H45" s="570"/>
      <c r="I45" s="209"/>
      <c r="J45" s="569"/>
      <c r="K45" s="570"/>
      <c r="L45" s="209"/>
      <c r="M45" s="569"/>
      <c r="N45" s="570"/>
      <c r="O45" s="575"/>
      <c r="P45" s="392"/>
      <c r="Q45" s="380"/>
      <c r="R45" s="578"/>
      <c r="S45" s="578"/>
      <c r="T45" s="578"/>
      <c r="U45" s="578"/>
      <c r="V45" s="392"/>
      <c r="W45" s="380"/>
      <c r="X45" s="340"/>
      <c r="Y45" s="341"/>
      <c r="Z45" s="342"/>
      <c r="AA45" s="340"/>
      <c r="AB45" s="341"/>
      <c r="AC45" s="342"/>
      <c r="AD45" s="340"/>
      <c r="AE45" s="341"/>
      <c r="AF45" s="342"/>
      <c r="AG45" s="340"/>
      <c r="AH45" s="341"/>
      <c r="AI45" s="342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</row>
    <row r="46" spans="1:189" ht="15" customHeight="1" thickBot="1" x14ac:dyDescent="0.25">
      <c r="A46" s="99">
        <v>46</v>
      </c>
      <c r="B46" s="380"/>
      <c r="C46" s="211"/>
      <c r="D46" s="571"/>
      <c r="E46" s="572"/>
      <c r="F46" s="211"/>
      <c r="G46" s="571"/>
      <c r="H46" s="572"/>
      <c r="I46" s="211"/>
      <c r="J46" s="571"/>
      <c r="K46" s="572"/>
      <c r="L46" s="211"/>
      <c r="M46" s="571"/>
      <c r="N46" s="572"/>
      <c r="O46" s="576"/>
      <c r="P46" s="392"/>
      <c r="Q46" s="380"/>
      <c r="R46" s="578"/>
      <c r="S46" s="578"/>
      <c r="T46" s="578"/>
      <c r="U46" s="578"/>
      <c r="V46" s="392"/>
      <c r="W46" s="381"/>
      <c r="X46" s="343"/>
      <c r="Y46" s="344"/>
      <c r="Z46" s="356"/>
      <c r="AA46" s="343"/>
      <c r="AB46" s="344"/>
      <c r="AC46" s="342"/>
      <c r="AD46" s="343"/>
      <c r="AE46" s="344"/>
      <c r="AF46" s="342"/>
      <c r="AG46" s="343"/>
      <c r="AH46" s="344"/>
      <c r="AI46" s="342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</row>
    <row r="47" spans="1:189" ht="15" customHeight="1" thickTop="1" thickBot="1" x14ac:dyDescent="0.25">
      <c r="A47" s="99">
        <v>47</v>
      </c>
      <c r="B47" s="121" t="s">
        <v>64</v>
      </c>
      <c r="C47" s="305">
        <f t="shared" ref="C47:O47" si="1">SUM(C43:C46)</f>
        <v>123879.13037519893</v>
      </c>
      <c r="D47" s="573">
        <f t="shared" si="1"/>
        <v>378042023.72370017</v>
      </c>
      <c r="E47" s="574">
        <f t="shared" si="1"/>
        <v>14614194.232075585</v>
      </c>
      <c r="F47" s="305">
        <f t="shared" si="1"/>
        <v>124479.06036070539</v>
      </c>
      <c r="G47" s="573">
        <f t="shared" si="1"/>
        <v>379861804.81153554</v>
      </c>
      <c r="H47" s="574">
        <f t="shared" si="1"/>
        <v>14684546.641047401</v>
      </c>
      <c r="I47" s="305">
        <f t="shared" si="1"/>
        <v>126479.5783658554</v>
      </c>
      <c r="J47" s="573">
        <f t="shared" si="1"/>
        <v>386077487.14282006</v>
      </c>
      <c r="K47" s="574">
        <f t="shared" si="1"/>
        <v>14924789.24276928</v>
      </c>
      <c r="L47" s="305">
        <f t="shared" si="1"/>
        <v>128001.8311645667</v>
      </c>
      <c r="M47" s="573">
        <f t="shared" si="1"/>
        <v>390791999.21720946</v>
      </c>
      <c r="N47" s="574">
        <f t="shared" si="1"/>
        <v>15107015.53299569</v>
      </c>
      <c r="O47" s="577">
        <f t="shared" si="1"/>
        <v>1594103860.544153</v>
      </c>
      <c r="P47" s="320" t="s">
        <v>238</v>
      </c>
      <c r="Q47" s="320"/>
      <c r="R47" s="578">
        <f>E47</f>
        <v>14614194.232075585</v>
      </c>
      <c r="S47" s="578">
        <f>H47</f>
        <v>14684546.641047401</v>
      </c>
      <c r="T47" s="578">
        <f>K47</f>
        <v>14924789.24276928</v>
      </c>
      <c r="U47" s="578">
        <f>N47</f>
        <v>15107015.53299569</v>
      </c>
      <c r="V47" s="320" t="s">
        <v>238</v>
      </c>
      <c r="W47" s="336" t="s">
        <v>24</v>
      </c>
      <c r="X47" s="357"/>
      <c r="Y47" s="358"/>
      <c r="Z47" s="359" t="e">
        <f>Y47/X47</f>
        <v>#DIV/0!</v>
      </c>
      <c r="AA47" s="357"/>
      <c r="AB47" s="358"/>
      <c r="AC47" s="359" t="e">
        <f>AB47/AA47</f>
        <v>#DIV/0!</v>
      </c>
      <c r="AD47" s="357"/>
      <c r="AE47" s="358"/>
      <c r="AF47" s="359" t="e">
        <f>AE47/AD47</f>
        <v>#DIV/0!</v>
      </c>
      <c r="AG47" s="357"/>
      <c r="AH47" s="358"/>
      <c r="AI47" s="359" t="e">
        <f>AH47/AG47</f>
        <v>#DIV/0!</v>
      </c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</row>
    <row r="48" spans="1:189" ht="12.75" x14ac:dyDescent="0.2">
      <c r="A48" s="99">
        <v>48</v>
      </c>
      <c r="O48" s="562"/>
      <c r="P48" s="335"/>
      <c r="Q48" s="335"/>
      <c r="R48" s="335"/>
      <c r="S48" s="335"/>
      <c r="T48" s="335"/>
      <c r="U48" s="335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</row>
    <row r="49" spans="1:189" ht="13.5" thickBot="1" x14ac:dyDescent="0.25">
      <c r="A49" s="99">
        <v>49</v>
      </c>
      <c r="B49" s="268" t="s">
        <v>347</v>
      </c>
      <c r="C49" s="203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  <c r="P49" s="102"/>
      <c r="Q49" s="102"/>
      <c r="R49" s="101"/>
      <c r="S49" s="101"/>
      <c r="T49" s="101"/>
      <c r="U49" s="101"/>
      <c r="V49" s="102"/>
      <c r="W49" s="102"/>
      <c r="X49" s="102"/>
      <c r="Y49" s="102"/>
      <c r="Z49" s="101"/>
      <c r="AA49" s="101"/>
      <c r="AB49" s="101"/>
      <c r="AC49" s="101"/>
      <c r="AD49" s="101"/>
      <c r="AE49" s="101"/>
      <c r="AF49" s="101"/>
      <c r="AG49" s="103"/>
      <c r="AH49" s="103"/>
      <c r="AI49" s="103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</row>
    <row r="50" spans="1:189" ht="13.5" thickBot="1" x14ac:dyDescent="0.25">
      <c r="A50" s="99">
        <v>50</v>
      </c>
      <c r="B50" s="104"/>
      <c r="C50" s="216" t="s">
        <v>17</v>
      </c>
      <c r="D50" s="127" t="s">
        <v>457</v>
      </c>
      <c r="E50" s="105"/>
      <c r="F50" s="105"/>
      <c r="G50" s="105"/>
      <c r="H50" s="106"/>
      <c r="I50" s="350" t="s">
        <v>142</v>
      </c>
      <c r="P50" s="331"/>
      <c r="Q50" s="331"/>
      <c r="R50" s="331"/>
      <c r="S50" s="331"/>
      <c r="T50" s="331"/>
      <c r="U50" s="331"/>
      <c r="V50" s="482" t="str">
        <f>P60</f>
        <v>Projected Year 3</v>
      </c>
      <c r="W50" s="331"/>
      <c r="X50" s="23"/>
      <c r="Y50" s="23"/>
      <c r="Z50" s="23"/>
      <c r="AA50" s="331"/>
      <c r="AB50" s="331"/>
      <c r="AC50" s="331"/>
      <c r="AD50" s="331"/>
      <c r="AE50" s="331"/>
      <c r="AF50" s="331"/>
      <c r="AG50" s="331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</row>
    <row r="51" spans="1:189" ht="13.5" thickBot="1" x14ac:dyDescent="0.25">
      <c r="A51" s="99">
        <v>51</v>
      </c>
      <c r="B51" s="107" t="s">
        <v>140</v>
      </c>
      <c r="C51" s="217" t="s">
        <v>442</v>
      </c>
      <c r="D51" s="128" t="s">
        <v>142</v>
      </c>
      <c r="E51" s="108" t="s">
        <v>142</v>
      </c>
      <c r="F51" s="108" t="s">
        <v>142</v>
      </c>
      <c r="G51" s="108" t="s">
        <v>142</v>
      </c>
      <c r="H51" s="109" t="s">
        <v>142</v>
      </c>
      <c r="I51" s="338" t="s">
        <v>246</v>
      </c>
      <c r="P51" s="331"/>
      <c r="Q51" s="331"/>
      <c r="R51" s="331"/>
      <c r="S51" s="331"/>
      <c r="T51" s="331"/>
      <c r="U51" s="331"/>
      <c r="V51" s="325"/>
      <c r="W51" s="325"/>
      <c r="X51" s="332" t="s">
        <v>261</v>
      </c>
      <c r="Y51" s="333"/>
      <c r="Z51" s="334"/>
      <c r="AA51" s="331"/>
      <c r="AB51" s="331"/>
      <c r="AC51" s="331"/>
      <c r="AD51" s="331"/>
      <c r="AE51" s="331"/>
      <c r="AF51" s="331"/>
      <c r="AG51" s="33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</row>
    <row r="52" spans="1:189" ht="12.75" x14ac:dyDescent="0.2">
      <c r="A52" s="99">
        <v>52</v>
      </c>
      <c r="B52" s="107" t="s">
        <v>143</v>
      </c>
      <c r="C52" s="218" t="s">
        <v>106</v>
      </c>
      <c r="D52" s="129" t="s">
        <v>102</v>
      </c>
      <c r="E52" s="110" t="s">
        <v>47</v>
      </c>
      <c r="F52" s="110" t="s">
        <v>103</v>
      </c>
      <c r="G52" s="110" t="s">
        <v>48</v>
      </c>
      <c r="H52" s="111" t="s">
        <v>105</v>
      </c>
      <c r="I52" s="338" t="s">
        <v>53</v>
      </c>
      <c r="P52" s="331"/>
      <c r="Q52" s="331"/>
      <c r="R52" s="331"/>
      <c r="S52" s="331"/>
      <c r="T52" s="331"/>
      <c r="U52" s="331"/>
      <c r="V52" s="326"/>
      <c r="W52" s="326"/>
      <c r="X52" s="147" t="s">
        <v>464</v>
      </c>
      <c r="Y52" s="351"/>
      <c r="Z52" s="351"/>
      <c r="AA52" s="331"/>
      <c r="AB52" s="331"/>
      <c r="AC52" s="331"/>
      <c r="AD52" s="331"/>
      <c r="AE52" s="331"/>
      <c r="AF52" s="331"/>
      <c r="AG52" s="33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</row>
    <row r="53" spans="1:189" ht="13.5" thickBot="1" x14ac:dyDescent="0.25">
      <c r="A53" s="99">
        <v>53</v>
      </c>
      <c r="B53" s="113" t="s">
        <v>40</v>
      </c>
      <c r="C53" s="219" t="s">
        <v>353</v>
      </c>
      <c r="D53" s="130" t="s">
        <v>114</v>
      </c>
      <c r="E53" s="114" t="s">
        <v>114</v>
      </c>
      <c r="F53" s="114" t="s">
        <v>114</v>
      </c>
      <c r="G53" s="114" t="s">
        <v>114</v>
      </c>
      <c r="H53" s="115" t="s">
        <v>57</v>
      </c>
      <c r="I53" s="339" t="s">
        <v>263</v>
      </c>
      <c r="P53" s="331"/>
      <c r="Q53" s="331"/>
      <c r="R53" s="331"/>
      <c r="S53" s="331"/>
      <c r="T53" s="331"/>
      <c r="U53" s="331"/>
      <c r="V53" s="328" t="s">
        <v>240</v>
      </c>
      <c r="W53" s="328" t="s">
        <v>14</v>
      </c>
      <c r="X53" s="337" t="s">
        <v>264</v>
      </c>
      <c r="Y53" s="352"/>
      <c r="Z53" s="353"/>
      <c r="AA53" s="331"/>
      <c r="AB53" s="331"/>
      <c r="AC53" s="331"/>
      <c r="AD53" s="331"/>
      <c r="AE53" s="331"/>
      <c r="AF53" s="331"/>
      <c r="AG53" s="331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</row>
    <row r="54" spans="1:189" ht="23.25" thickBot="1" x14ac:dyDescent="0.25">
      <c r="A54" s="99">
        <v>54</v>
      </c>
      <c r="B54" s="380" t="str">
        <f>'D1. Member Months'!B$10</f>
        <v>Nursing Home Level of Care</v>
      </c>
      <c r="C54" s="220">
        <f>'D1. Member Months'!G32</f>
        <v>506077.70356960455</v>
      </c>
      <c r="D54" s="213">
        <f>'D5. Waiver Cost Projection'!O43</f>
        <v>3213.9335435598268</v>
      </c>
      <c r="E54" s="40">
        <f>'D5. Waiver Cost Projection'!S43</f>
        <v>0</v>
      </c>
      <c r="F54" s="40">
        <f>'D5. Waiver Cost Projection'!W43</f>
        <v>0</v>
      </c>
      <c r="G54" s="40">
        <f>'D5. Waiver Cost Projection'!AA43</f>
        <v>124.69871251482951</v>
      </c>
      <c r="H54" s="159">
        <f>'D5. Waiver Cost Projection'!AB43</f>
        <v>3338.6322560746562</v>
      </c>
      <c r="I54" s="349">
        <f>H54-G54</f>
        <v>3213.9335435598268</v>
      </c>
      <c r="P54" s="331"/>
      <c r="Q54" s="331"/>
      <c r="R54" s="331"/>
      <c r="S54" s="331"/>
      <c r="T54" s="331"/>
      <c r="U54" s="331"/>
      <c r="V54" s="327"/>
      <c r="W54" s="327"/>
      <c r="X54" s="339" t="s">
        <v>262</v>
      </c>
      <c r="Y54" s="352"/>
      <c r="Z54" s="353"/>
      <c r="AA54" s="331"/>
      <c r="AB54" s="331"/>
      <c r="AC54" s="331"/>
      <c r="AD54" s="331"/>
      <c r="AE54" s="331"/>
      <c r="AF54" s="331"/>
      <c r="AG54" s="331"/>
      <c r="AH54" s="206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</row>
    <row r="55" spans="1:189" ht="13.5" thickBot="1" x14ac:dyDescent="0.25">
      <c r="A55" s="99">
        <v>55</v>
      </c>
      <c r="B55" s="380" t="str">
        <f>'D1. Member Months'!B$11</f>
        <v>Non-Nursing Home Level of Care</v>
      </c>
      <c r="C55" s="220">
        <f>'D1. Member Months'!G33</f>
        <v>16854.243082163131</v>
      </c>
      <c r="D55" s="213">
        <f>'D5. Waiver Cost Projection'!O44</f>
        <v>614.94159260004699</v>
      </c>
      <c r="E55" s="40">
        <f>'D5. Waiver Cost Projection'!S44</f>
        <v>0</v>
      </c>
      <c r="F55" s="40">
        <f>'D5. Waiver Cost Projection'!W44</f>
        <v>0</v>
      </c>
      <c r="G55" s="40">
        <f>'D5. Waiver Cost Projection'!AA44</f>
        <v>24.728001676073998</v>
      </c>
      <c r="H55" s="159">
        <f>'D5. Waiver Cost Projection'!AB44</f>
        <v>639.66959427612096</v>
      </c>
      <c r="I55" s="155">
        <f>H55-G55</f>
        <v>614.94159260004699</v>
      </c>
      <c r="P55" s="331"/>
      <c r="Q55" s="331"/>
      <c r="R55" s="331"/>
      <c r="S55" s="331"/>
      <c r="T55" s="331"/>
      <c r="U55" s="331"/>
      <c r="V55" s="392" t="s">
        <v>239</v>
      </c>
      <c r="W55" s="380" t="str">
        <f>'D1. Member Months'!B10</f>
        <v>Nursing Home Level of Care</v>
      </c>
      <c r="X55" s="367">
        <f>I54</f>
        <v>3213.9335435598268</v>
      </c>
      <c r="Y55" s="354"/>
      <c r="Z55" s="353"/>
      <c r="AA55" s="331"/>
      <c r="AB55" s="331"/>
      <c r="AC55" s="331"/>
      <c r="AD55" s="331"/>
      <c r="AE55" s="331"/>
      <c r="AF55" s="331"/>
      <c r="AG55" s="331"/>
      <c r="AH55" s="206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</row>
    <row r="56" spans="1:189" ht="12" thickBot="1" x14ac:dyDescent="0.25">
      <c r="A56" s="99">
        <v>56</v>
      </c>
      <c r="B56" s="380"/>
      <c r="C56" s="220"/>
      <c r="D56" s="213"/>
      <c r="E56" s="40"/>
      <c r="F56" s="40"/>
      <c r="G56" s="40"/>
      <c r="H56" s="159"/>
      <c r="I56" s="155"/>
      <c r="P56" s="331"/>
      <c r="Q56" s="331"/>
      <c r="R56" s="331"/>
      <c r="S56" s="331"/>
      <c r="T56" s="331"/>
      <c r="U56" s="331"/>
      <c r="V56" s="392" t="s">
        <v>239</v>
      </c>
      <c r="W56" s="380" t="str">
        <f>'D1. Member Months'!B11</f>
        <v>Non-Nursing Home Level of Care</v>
      </c>
      <c r="X56" s="367">
        <f>I55</f>
        <v>614.94159260004699</v>
      </c>
      <c r="AA56" s="331"/>
      <c r="AB56" s="331"/>
      <c r="AC56" s="331"/>
      <c r="AD56" s="331"/>
      <c r="AE56" s="331"/>
      <c r="AF56" s="331"/>
      <c r="AG56" s="331"/>
      <c r="AH56" s="206"/>
    </row>
    <row r="57" spans="1:189" ht="12" thickBot="1" x14ac:dyDescent="0.25">
      <c r="A57" s="99">
        <v>57</v>
      </c>
      <c r="B57" s="380"/>
      <c r="C57" s="220"/>
      <c r="D57" s="213"/>
      <c r="E57" s="40"/>
      <c r="F57" s="40"/>
      <c r="G57" s="40"/>
      <c r="H57" s="159"/>
      <c r="I57" s="155"/>
      <c r="P57" s="331"/>
      <c r="Q57" s="331"/>
      <c r="R57" s="331"/>
      <c r="S57" s="331"/>
      <c r="T57" s="331"/>
      <c r="U57" s="331"/>
      <c r="V57" s="392"/>
      <c r="W57" s="380"/>
      <c r="X57" s="367"/>
      <c r="AA57" s="331"/>
      <c r="AB57" s="331"/>
      <c r="AC57" s="331"/>
      <c r="AD57" s="331"/>
      <c r="AE57" s="331"/>
      <c r="AF57" s="331"/>
      <c r="AG57" s="331"/>
      <c r="AH57" s="206"/>
    </row>
    <row r="58" spans="1:189" ht="12.75" thickTop="1" thickBot="1" x14ac:dyDescent="0.25">
      <c r="A58" s="99">
        <v>58</v>
      </c>
      <c r="B58" s="120" t="s">
        <v>64</v>
      </c>
      <c r="C58" s="222">
        <f>SUM(C54:C57)</f>
        <v>522931.94665176771</v>
      </c>
      <c r="D58" s="215"/>
      <c r="E58" s="207"/>
      <c r="F58" s="207"/>
      <c r="G58" s="207"/>
      <c r="H58" s="208"/>
      <c r="I58" s="208"/>
      <c r="P58" s="331"/>
      <c r="Q58" s="331"/>
      <c r="R58" s="331"/>
      <c r="S58" s="331"/>
      <c r="T58" s="331"/>
      <c r="U58" s="331"/>
      <c r="V58" s="392"/>
      <c r="W58" s="381"/>
      <c r="X58" s="368"/>
      <c r="AA58" s="331"/>
      <c r="AB58" s="331"/>
      <c r="AC58" s="331"/>
      <c r="AD58" s="331"/>
      <c r="AE58" s="331"/>
      <c r="AF58" s="331"/>
      <c r="AG58" s="331"/>
      <c r="AH58" s="206"/>
    </row>
    <row r="59" spans="1:189" ht="12" thickBot="1" x14ac:dyDescent="0.25">
      <c r="A59" s="99">
        <v>59</v>
      </c>
      <c r="B59" s="269" t="s">
        <v>422</v>
      </c>
      <c r="C59" s="223"/>
      <c r="D59" s="204">
        <f>SUMPRODUCT(D54:D57,$C54:$C57)/$C58</f>
        <v>3130.1673051601069</v>
      </c>
      <c r="E59" s="205">
        <f>SUMPRODUCT(E54:E57,$C54:$C57)/$C58</f>
        <v>0</v>
      </c>
      <c r="F59" s="205">
        <f>SUMPRODUCT(F54:F57,$C54:$C57)/$C58</f>
        <v>0</v>
      </c>
      <c r="G59" s="347">
        <f>SUMPRODUCT(G54:G57,$C54:$C57)/$C58</f>
        <v>121.47662850875317</v>
      </c>
      <c r="H59" s="205">
        <f>SUMPRODUCT(H54:H57,$C54:$C57)/$C58</f>
        <v>3251.64393366886</v>
      </c>
      <c r="I59" s="205"/>
      <c r="J59" s="122"/>
      <c r="K59" s="123"/>
      <c r="L59" s="123"/>
      <c r="M59" s="123"/>
      <c r="N59" s="123"/>
      <c r="O59" s="124"/>
      <c r="P59" s="124"/>
      <c r="Q59" s="124"/>
      <c r="R59" s="123"/>
      <c r="S59" s="123"/>
      <c r="T59" s="123"/>
      <c r="U59" s="123"/>
      <c r="V59" s="320" t="s">
        <v>238</v>
      </c>
      <c r="W59" s="336" t="s">
        <v>24</v>
      </c>
      <c r="X59" s="205">
        <f>G59</f>
        <v>121.47662850875317</v>
      </c>
      <c r="Y59" s="124"/>
      <c r="Z59" s="124"/>
      <c r="AA59" s="123"/>
      <c r="AB59" s="123"/>
      <c r="AC59" s="123"/>
      <c r="AD59" s="123"/>
      <c r="AE59" s="123"/>
      <c r="AF59" s="123"/>
      <c r="AG59" s="331"/>
      <c r="AH59" s="206"/>
    </row>
    <row r="60" spans="1:189" ht="13.5" thickBot="1" x14ac:dyDescent="0.25">
      <c r="A60" s="99">
        <v>60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481" t="s">
        <v>347</v>
      </c>
      <c r="Q60" s="479">
        <f>'D1. Member Months'!D7</f>
        <v>42736</v>
      </c>
      <c r="R60" s="426" t="s">
        <v>329</v>
      </c>
      <c r="S60" s="479">
        <f>'D1. Member Months'!F7</f>
        <v>43100</v>
      </c>
      <c r="T60" s="103"/>
      <c r="U60" s="363"/>
      <c r="V60" s="482" t="str">
        <f>P60</f>
        <v>Projected Year 3</v>
      </c>
      <c r="W60" s="331"/>
      <c r="X60" s="355" t="s">
        <v>258</v>
      </c>
      <c r="Y60" s="345"/>
      <c r="Z60" s="346"/>
      <c r="AA60" s="355" t="s">
        <v>258</v>
      </c>
      <c r="AB60" s="345"/>
      <c r="AC60" s="346"/>
      <c r="AD60" s="355" t="s">
        <v>258</v>
      </c>
      <c r="AE60" s="345"/>
      <c r="AF60" s="346"/>
      <c r="AG60" s="355" t="s">
        <v>258</v>
      </c>
      <c r="AH60" s="345"/>
      <c r="AI60" s="346"/>
    </row>
    <row r="61" spans="1:189" x14ac:dyDescent="0.2">
      <c r="A61" s="99">
        <v>61</v>
      </c>
      <c r="B61" s="147"/>
      <c r="C61" s="307" t="s">
        <v>408</v>
      </c>
      <c r="D61" s="105"/>
      <c r="E61" s="106"/>
      <c r="F61" s="307" t="s">
        <v>409</v>
      </c>
      <c r="G61" s="105"/>
      <c r="H61" s="106"/>
      <c r="I61" s="307" t="s">
        <v>410</v>
      </c>
      <c r="J61" s="105"/>
      <c r="K61" s="106"/>
      <c r="L61" s="307" t="s">
        <v>411</v>
      </c>
      <c r="M61" s="105"/>
      <c r="N61" s="106"/>
      <c r="O61" s="360"/>
      <c r="P61" s="325"/>
      <c r="Q61" s="325"/>
      <c r="R61" s="321"/>
      <c r="S61" s="321"/>
      <c r="T61" s="321"/>
      <c r="U61" s="321"/>
      <c r="V61" s="325"/>
      <c r="W61" s="325"/>
      <c r="X61" s="307" t="s">
        <v>423</v>
      </c>
      <c r="Y61" s="105"/>
      <c r="Z61" s="106"/>
      <c r="AA61" s="307" t="s">
        <v>424</v>
      </c>
      <c r="AB61" s="105"/>
      <c r="AC61" s="106"/>
      <c r="AD61" s="307" t="s">
        <v>425</v>
      </c>
      <c r="AE61" s="105"/>
      <c r="AF61" s="106"/>
      <c r="AG61" s="307" t="s">
        <v>426</v>
      </c>
      <c r="AH61" s="105"/>
      <c r="AI61" s="106"/>
    </row>
    <row r="62" spans="1:189" ht="22.5" x14ac:dyDescent="0.2">
      <c r="A62" s="99">
        <v>62</v>
      </c>
      <c r="B62" s="148" t="s">
        <v>140</v>
      </c>
      <c r="C62" s="201" t="s">
        <v>106</v>
      </c>
      <c r="D62" s="112" t="s">
        <v>237</v>
      </c>
      <c r="E62" s="306" t="s">
        <v>236</v>
      </c>
      <c r="F62" s="107" t="s">
        <v>106</v>
      </c>
      <c r="G62" s="112" t="s">
        <v>237</v>
      </c>
      <c r="H62" s="306" t="s">
        <v>236</v>
      </c>
      <c r="I62" s="107" t="s">
        <v>106</v>
      </c>
      <c r="J62" s="112" t="s">
        <v>237</v>
      </c>
      <c r="K62" s="306" t="s">
        <v>236</v>
      </c>
      <c r="L62" s="107" t="s">
        <v>106</v>
      </c>
      <c r="M62" s="112" t="s">
        <v>237</v>
      </c>
      <c r="N62" s="306" t="s">
        <v>236</v>
      </c>
      <c r="O62" s="338"/>
      <c r="P62" s="326"/>
      <c r="Q62" s="326"/>
      <c r="R62" s="322"/>
      <c r="S62" s="322"/>
      <c r="T62" s="323"/>
      <c r="U62" s="324"/>
      <c r="V62" s="326"/>
      <c r="W62" s="326"/>
      <c r="X62" s="201" t="s">
        <v>106</v>
      </c>
      <c r="Y62" s="110" t="s">
        <v>249</v>
      </c>
      <c r="Z62" s="306" t="s">
        <v>249</v>
      </c>
      <c r="AA62" s="201" t="s">
        <v>106</v>
      </c>
      <c r="AB62" s="110" t="s">
        <v>249</v>
      </c>
      <c r="AC62" s="306" t="s">
        <v>249</v>
      </c>
      <c r="AD62" s="201" t="s">
        <v>106</v>
      </c>
      <c r="AE62" s="110" t="s">
        <v>249</v>
      </c>
      <c r="AF62" s="306" t="s">
        <v>249</v>
      </c>
      <c r="AG62" s="201" t="s">
        <v>106</v>
      </c>
      <c r="AH62" s="110" t="s">
        <v>249</v>
      </c>
      <c r="AI62" s="306" t="s">
        <v>249</v>
      </c>
    </row>
    <row r="63" spans="1:189" ht="22.5" x14ac:dyDescent="0.2">
      <c r="A63" s="99">
        <v>63</v>
      </c>
      <c r="B63" s="148" t="s">
        <v>143</v>
      </c>
      <c r="C63" s="201" t="s">
        <v>144</v>
      </c>
      <c r="D63" s="112" t="s">
        <v>53</v>
      </c>
      <c r="E63" s="111" t="s">
        <v>48</v>
      </c>
      <c r="F63" s="107" t="s">
        <v>144</v>
      </c>
      <c r="G63" s="112" t="s">
        <v>53</v>
      </c>
      <c r="H63" s="111" t="s">
        <v>48</v>
      </c>
      <c r="I63" s="107" t="s">
        <v>144</v>
      </c>
      <c r="J63" s="112" t="s">
        <v>53</v>
      </c>
      <c r="K63" s="111" t="s">
        <v>48</v>
      </c>
      <c r="L63" s="107" t="s">
        <v>144</v>
      </c>
      <c r="M63" s="112" t="s">
        <v>53</v>
      </c>
      <c r="N63" s="111" t="s">
        <v>48</v>
      </c>
      <c r="O63" s="338" t="s">
        <v>460</v>
      </c>
      <c r="P63" s="328" t="s">
        <v>240</v>
      </c>
      <c r="Q63" s="328" t="s">
        <v>14</v>
      </c>
      <c r="R63" s="329" t="s">
        <v>408</v>
      </c>
      <c r="S63" s="329" t="s">
        <v>409</v>
      </c>
      <c r="T63" s="329" t="s">
        <v>410</v>
      </c>
      <c r="U63" s="329" t="s">
        <v>411</v>
      </c>
      <c r="V63" s="328" t="s">
        <v>240</v>
      </c>
      <c r="W63" s="328" t="s">
        <v>14</v>
      </c>
      <c r="X63" s="201" t="s">
        <v>244</v>
      </c>
      <c r="Y63" s="112" t="s">
        <v>247</v>
      </c>
      <c r="Z63" s="111" t="s">
        <v>248</v>
      </c>
      <c r="AA63" s="201" t="s">
        <v>244</v>
      </c>
      <c r="AB63" s="112" t="s">
        <v>247</v>
      </c>
      <c r="AC63" s="111" t="s">
        <v>248</v>
      </c>
      <c r="AD63" s="201" t="s">
        <v>244</v>
      </c>
      <c r="AE63" s="112" t="s">
        <v>247</v>
      </c>
      <c r="AF63" s="111" t="s">
        <v>248</v>
      </c>
      <c r="AG63" s="201" t="s">
        <v>244</v>
      </c>
      <c r="AH63" s="112" t="s">
        <v>247</v>
      </c>
      <c r="AI63" s="111" t="s">
        <v>248</v>
      </c>
    </row>
    <row r="64" spans="1:189" ht="23.25" thickBot="1" x14ac:dyDescent="0.25">
      <c r="A64" s="99">
        <v>64</v>
      </c>
      <c r="B64" s="149" t="s">
        <v>40</v>
      </c>
      <c r="C64" s="113"/>
      <c r="D64" s="308" t="s">
        <v>145</v>
      </c>
      <c r="E64" s="115" t="s">
        <v>52</v>
      </c>
      <c r="F64" s="113"/>
      <c r="G64" s="308" t="s">
        <v>145</v>
      </c>
      <c r="H64" s="115" t="s">
        <v>52</v>
      </c>
      <c r="I64" s="113"/>
      <c r="J64" s="308" t="s">
        <v>145</v>
      </c>
      <c r="K64" s="115" t="s">
        <v>52</v>
      </c>
      <c r="L64" s="113"/>
      <c r="M64" s="308" t="s">
        <v>145</v>
      </c>
      <c r="N64" s="115" t="s">
        <v>52</v>
      </c>
      <c r="O64" s="339" t="s">
        <v>57</v>
      </c>
      <c r="P64" s="327"/>
      <c r="Q64" s="327"/>
      <c r="R64" s="424">
        <f>'D1. Member Months'!D31-1</f>
        <v>42825</v>
      </c>
      <c r="S64" s="424">
        <f>'D1. Member Months'!E31-1</f>
        <v>42916</v>
      </c>
      <c r="T64" s="425">
        <f>'D1. Member Months'!F31-1</f>
        <v>43008</v>
      </c>
      <c r="U64" s="425">
        <f>'D1. Member Months'!F7</f>
        <v>43100</v>
      </c>
      <c r="V64" s="327"/>
      <c r="W64" s="327"/>
      <c r="X64" s="488">
        <f>R64</f>
        <v>42825</v>
      </c>
      <c r="Y64" s="308" t="s">
        <v>245</v>
      </c>
      <c r="Z64" s="115"/>
      <c r="AA64" s="488">
        <f>S64</f>
        <v>42916</v>
      </c>
      <c r="AB64" s="308" t="s">
        <v>245</v>
      </c>
      <c r="AC64" s="115"/>
      <c r="AD64" s="488">
        <f>T64</f>
        <v>43008</v>
      </c>
      <c r="AE64" s="308" t="s">
        <v>245</v>
      </c>
      <c r="AF64" s="115"/>
      <c r="AG64" s="488">
        <f>U64</f>
        <v>43100</v>
      </c>
      <c r="AH64" s="308" t="s">
        <v>245</v>
      </c>
      <c r="AI64" s="115"/>
    </row>
    <row r="65" spans="1:35" ht="12" thickBot="1" x14ac:dyDescent="0.25">
      <c r="A65" s="99">
        <v>65</v>
      </c>
      <c r="B65" s="380" t="str">
        <f>'D1. Member Months'!B$10</f>
        <v>Nursing Home Level of Care</v>
      </c>
      <c r="C65" s="209">
        <f>'D1. Member Months'!C32</f>
        <v>124656.53083885854</v>
      </c>
      <c r="D65" s="569">
        <f>C65*($D54+$E54+$F54)</f>
        <v>400637805.88680744</v>
      </c>
      <c r="E65" s="570">
        <f>C65*$G54</f>
        <v>15544508.9021708</v>
      </c>
      <c r="F65" s="209">
        <f>'D1. Member Months'!D32</f>
        <v>125243.82607213029</v>
      </c>
      <c r="G65" s="569">
        <f>F65*($D54+$E54+$F54)</f>
        <v>402525333.73699236</v>
      </c>
      <c r="H65" s="570">
        <f>F65*$G54</f>
        <v>15617743.861625884</v>
      </c>
      <c r="I65" s="209">
        <f>'D1. Member Months'!E32</f>
        <v>127782.42725246899</v>
      </c>
      <c r="J65" s="569">
        <f>I65*($D54+$E54+$F54)</f>
        <v>410684229.22420347</v>
      </c>
      <c r="K65" s="570">
        <f>I65*$G54</f>
        <v>15934304.160402745</v>
      </c>
      <c r="L65" s="209">
        <f>'D1. Member Months'!F32</f>
        <v>128394.91940614674</v>
      </c>
      <c r="M65" s="569">
        <f>L65*($D54+$E54+$F54)</f>
        <v>412652738.30207556</v>
      </c>
      <c r="N65" s="570">
        <f>L65*$G54</f>
        <v>16010681.143391797</v>
      </c>
      <c r="O65" s="575">
        <f>D65+E65+G65+H65+J65+K65+M65+N65</f>
        <v>1689607345.2176702</v>
      </c>
      <c r="P65" s="392" t="s">
        <v>239</v>
      </c>
      <c r="Q65" s="380" t="str">
        <f>'D1. Member Months'!B$10</f>
        <v>Nursing Home Level of Care</v>
      </c>
      <c r="R65" s="578">
        <f>D65</f>
        <v>400637805.88680744</v>
      </c>
      <c r="S65" s="578">
        <f>G65</f>
        <v>402525333.73699236</v>
      </c>
      <c r="T65" s="578">
        <f>J65</f>
        <v>410684229.22420347</v>
      </c>
      <c r="U65" s="578">
        <f>M65</f>
        <v>412652738.30207556</v>
      </c>
      <c r="V65" s="392" t="s">
        <v>239</v>
      </c>
      <c r="W65" s="380" t="str">
        <f>'D1. Member Months'!B10</f>
        <v>Nursing Home Level of Care</v>
      </c>
      <c r="X65" s="340"/>
      <c r="Y65" s="341"/>
      <c r="Z65" s="342" t="e">
        <f>Y65/X65</f>
        <v>#DIV/0!</v>
      </c>
      <c r="AA65" s="340"/>
      <c r="AB65" s="341"/>
      <c r="AC65" s="342" t="e">
        <f>AB65/AA65</f>
        <v>#DIV/0!</v>
      </c>
      <c r="AD65" s="340"/>
      <c r="AE65" s="341"/>
      <c r="AF65" s="342" t="e">
        <f>AE65/AD65</f>
        <v>#DIV/0!</v>
      </c>
      <c r="AG65" s="340"/>
      <c r="AH65" s="341"/>
      <c r="AI65" s="342" t="e">
        <f>AH65/AG65</f>
        <v>#DIV/0!</v>
      </c>
    </row>
    <row r="66" spans="1:35" ht="12" thickBot="1" x14ac:dyDescent="0.25">
      <c r="A66" s="99">
        <v>66</v>
      </c>
      <c r="B66" s="380" t="str">
        <f>'D1. Member Months'!B$11</f>
        <v>Non-Nursing Home Level of Care</v>
      </c>
      <c r="C66" s="209">
        <f>'D1. Member Months'!C33</f>
        <v>4177.6312500887598</v>
      </c>
      <c r="D66" s="569">
        <f>C66*($D55+$E55+$F55)</f>
        <v>2568999.2142253071</v>
      </c>
      <c r="E66" s="570">
        <f>C66*$G55</f>
        <v>103304.47255421396</v>
      </c>
      <c r="F66" s="209">
        <f>'D1. Member Months'!D33</f>
        <v>4201.3114353977244</v>
      </c>
      <c r="G66" s="569">
        <f>F66*($D55+$E55+$F55)</f>
        <v>2583561.1450922661</v>
      </c>
      <c r="H66" s="570">
        <f>F66*$G55</f>
        <v>103890.03621622379</v>
      </c>
      <c r="I66" s="209">
        <f>'D1. Member Months'!E33</f>
        <v>4225.4374960601954</v>
      </c>
      <c r="J66" s="569">
        <f>I66*($D55+$E55+$F55)</f>
        <v>2598397.2632592111</v>
      </c>
      <c r="K66" s="570">
        <f>I66*$G55</f>
        <v>104486.62548472243</v>
      </c>
      <c r="L66" s="209">
        <f>'D1. Member Months'!F33</f>
        <v>4249.862900616451</v>
      </c>
      <c r="M66" s="569">
        <f>L66*($D55+$E55+$F55)</f>
        <v>2613417.4604369355</v>
      </c>
      <c r="N66" s="570">
        <f>L66*$G55</f>
        <v>105090.6169295283</v>
      </c>
      <c r="O66" s="575">
        <f>D66+E66+G66+H66+J66+K66+M66+N66</f>
        <v>10781146.834198408</v>
      </c>
      <c r="P66" s="392" t="s">
        <v>239</v>
      </c>
      <c r="Q66" s="380" t="str">
        <f>'D1. Member Months'!B$11</f>
        <v>Non-Nursing Home Level of Care</v>
      </c>
      <c r="R66" s="578">
        <f>D66</f>
        <v>2568999.2142253071</v>
      </c>
      <c r="S66" s="578">
        <f>G66</f>
        <v>2583561.1450922661</v>
      </c>
      <c r="T66" s="578">
        <f>J66</f>
        <v>2598397.2632592111</v>
      </c>
      <c r="U66" s="578">
        <f>M66</f>
        <v>2613417.4604369355</v>
      </c>
      <c r="V66" s="392" t="s">
        <v>239</v>
      </c>
      <c r="W66" s="380" t="str">
        <f>'D1. Member Months'!B11</f>
        <v>Non-Nursing Home Level of Care</v>
      </c>
      <c r="X66" s="340"/>
      <c r="Y66" s="341"/>
      <c r="Z66" s="342" t="e">
        <f>Y66/X66</f>
        <v>#DIV/0!</v>
      </c>
      <c r="AA66" s="340"/>
      <c r="AB66" s="341"/>
      <c r="AC66" s="342" t="e">
        <f>AB66/AA66</f>
        <v>#DIV/0!</v>
      </c>
      <c r="AD66" s="340"/>
      <c r="AE66" s="341"/>
      <c r="AF66" s="342" t="e">
        <f>AE66/AD66</f>
        <v>#DIV/0!</v>
      </c>
      <c r="AG66" s="340"/>
      <c r="AH66" s="341"/>
      <c r="AI66" s="342" t="e">
        <f>AH66/AG66</f>
        <v>#DIV/0!</v>
      </c>
    </row>
    <row r="67" spans="1:35" ht="12" thickBot="1" x14ac:dyDescent="0.25">
      <c r="A67" s="99">
        <v>67</v>
      </c>
      <c r="B67" s="380"/>
      <c r="C67" s="209"/>
      <c r="D67" s="569"/>
      <c r="E67" s="570"/>
      <c r="F67" s="209"/>
      <c r="G67" s="569"/>
      <c r="H67" s="570"/>
      <c r="I67" s="209"/>
      <c r="J67" s="569"/>
      <c r="K67" s="570"/>
      <c r="L67" s="209"/>
      <c r="M67" s="569"/>
      <c r="N67" s="570"/>
      <c r="O67" s="575"/>
      <c r="P67" s="392"/>
      <c r="Q67" s="380"/>
      <c r="R67" s="578"/>
      <c r="S67" s="578"/>
      <c r="T67" s="578"/>
      <c r="U67" s="578"/>
      <c r="V67" s="392"/>
      <c r="W67" s="380"/>
      <c r="X67" s="340"/>
      <c r="Y67" s="341"/>
      <c r="Z67" s="342"/>
      <c r="AA67" s="340"/>
      <c r="AB67" s="341"/>
      <c r="AC67" s="342"/>
      <c r="AD67" s="340"/>
      <c r="AE67" s="341"/>
      <c r="AF67" s="342"/>
      <c r="AG67" s="340"/>
      <c r="AH67" s="341"/>
      <c r="AI67" s="342"/>
    </row>
    <row r="68" spans="1:35" ht="12" thickBot="1" x14ac:dyDescent="0.25">
      <c r="A68" s="99">
        <v>68</v>
      </c>
      <c r="B68" s="380"/>
      <c r="C68" s="209"/>
      <c r="D68" s="571"/>
      <c r="E68" s="572"/>
      <c r="F68" s="209"/>
      <c r="G68" s="571"/>
      <c r="H68" s="572"/>
      <c r="I68" s="209"/>
      <c r="J68" s="571"/>
      <c r="K68" s="572"/>
      <c r="L68" s="209"/>
      <c r="M68" s="571"/>
      <c r="N68" s="572"/>
      <c r="O68" s="576"/>
      <c r="P68" s="392"/>
      <c r="Q68" s="380"/>
      <c r="R68" s="578"/>
      <c r="S68" s="578"/>
      <c r="T68" s="578"/>
      <c r="U68" s="578"/>
      <c r="V68" s="392"/>
      <c r="W68" s="381"/>
      <c r="X68" s="343"/>
      <c r="Y68" s="344"/>
      <c r="Z68" s="356"/>
      <c r="AA68" s="343"/>
      <c r="AB68" s="344"/>
      <c r="AC68" s="342"/>
      <c r="AD68" s="343"/>
      <c r="AE68" s="344"/>
      <c r="AF68" s="342"/>
      <c r="AG68" s="343"/>
      <c r="AH68" s="344"/>
      <c r="AI68" s="342"/>
    </row>
    <row r="69" spans="1:35" ht="12.75" thickTop="1" thickBot="1" x14ac:dyDescent="0.25">
      <c r="A69" s="99">
        <v>69</v>
      </c>
      <c r="B69" s="121" t="s">
        <v>64</v>
      </c>
      <c r="C69" s="305">
        <f t="shared" ref="C69:O69" si="2">SUM(C65:C68)</f>
        <v>128834.1620889473</v>
      </c>
      <c r="D69" s="573">
        <f t="shared" si="2"/>
        <v>403206805.10103273</v>
      </c>
      <c r="E69" s="574">
        <f t="shared" si="2"/>
        <v>15647813.374725014</v>
      </c>
      <c r="F69" s="305">
        <f t="shared" si="2"/>
        <v>129445.13750752802</v>
      </c>
      <c r="G69" s="573">
        <f t="shared" si="2"/>
        <v>405108894.88208461</v>
      </c>
      <c r="H69" s="574">
        <f t="shared" si="2"/>
        <v>15721633.897842107</v>
      </c>
      <c r="I69" s="305">
        <f t="shared" si="2"/>
        <v>132007.86474852919</v>
      </c>
      <c r="J69" s="573">
        <f t="shared" si="2"/>
        <v>413282626.4874627</v>
      </c>
      <c r="K69" s="574">
        <f t="shared" si="2"/>
        <v>16038790.785887467</v>
      </c>
      <c r="L69" s="305">
        <f t="shared" si="2"/>
        <v>132644.7823067632</v>
      </c>
      <c r="M69" s="573">
        <f t="shared" si="2"/>
        <v>415266155.76251251</v>
      </c>
      <c r="N69" s="574">
        <f t="shared" si="2"/>
        <v>16115771.760321327</v>
      </c>
      <c r="O69" s="577">
        <f t="shared" si="2"/>
        <v>1700388492.0518687</v>
      </c>
      <c r="P69" s="320" t="s">
        <v>238</v>
      </c>
      <c r="Q69" s="320"/>
      <c r="R69" s="578">
        <f>E69</f>
        <v>15647813.374725014</v>
      </c>
      <c r="S69" s="578">
        <f>H69</f>
        <v>15721633.897842107</v>
      </c>
      <c r="T69" s="578">
        <f>K69</f>
        <v>16038790.785887467</v>
      </c>
      <c r="U69" s="578">
        <f>N69</f>
        <v>16115771.760321327</v>
      </c>
      <c r="V69" s="320" t="s">
        <v>238</v>
      </c>
      <c r="W69" s="336" t="s">
        <v>24</v>
      </c>
      <c r="X69" s="357"/>
      <c r="Y69" s="358"/>
      <c r="Z69" s="359" t="e">
        <f>Y69/X69</f>
        <v>#DIV/0!</v>
      </c>
      <c r="AA69" s="357"/>
      <c r="AB69" s="358"/>
      <c r="AC69" s="359" t="e">
        <f>AB69/AA69</f>
        <v>#DIV/0!</v>
      </c>
      <c r="AD69" s="357"/>
      <c r="AE69" s="358"/>
      <c r="AF69" s="359" t="e">
        <f>AE69/AD69</f>
        <v>#DIV/0!</v>
      </c>
      <c r="AG69" s="357"/>
      <c r="AH69" s="358"/>
      <c r="AI69" s="359" t="e">
        <f>AH69/AG69</f>
        <v>#DIV/0!</v>
      </c>
    </row>
    <row r="70" spans="1:35" x14ac:dyDescent="0.2">
      <c r="A70" s="99">
        <v>70</v>
      </c>
      <c r="O70" s="562"/>
    </row>
    <row r="71" spans="1:35" ht="13.5" thickBot="1" x14ac:dyDescent="0.25">
      <c r="A71" s="99">
        <v>71</v>
      </c>
      <c r="B71" s="268" t="s">
        <v>352</v>
      </c>
      <c r="C71" s="203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2"/>
      <c r="P71" s="102"/>
      <c r="Q71" s="102"/>
      <c r="R71" s="101"/>
      <c r="S71" s="101"/>
      <c r="T71" s="101"/>
      <c r="U71" s="101"/>
      <c r="V71" s="102"/>
      <c r="W71" s="102"/>
      <c r="X71" s="102"/>
      <c r="Y71" s="102"/>
      <c r="Z71" s="101"/>
      <c r="AA71" s="101"/>
      <c r="AB71" s="101"/>
      <c r="AC71" s="101"/>
      <c r="AD71" s="101"/>
      <c r="AE71" s="101"/>
      <c r="AF71" s="101"/>
      <c r="AG71" s="103"/>
      <c r="AH71" s="103"/>
      <c r="AI71" s="103"/>
    </row>
    <row r="72" spans="1:35" ht="12" thickBot="1" x14ac:dyDescent="0.25">
      <c r="A72" s="99">
        <v>72</v>
      </c>
      <c r="B72" s="104"/>
      <c r="C72" s="216" t="s">
        <v>17</v>
      </c>
      <c r="D72" s="127" t="s">
        <v>458</v>
      </c>
      <c r="E72" s="105"/>
      <c r="F72" s="105"/>
      <c r="G72" s="105"/>
      <c r="H72" s="106"/>
      <c r="I72" s="350" t="s">
        <v>142</v>
      </c>
      <c r="P72" s="331"/>
      <c r="Q72" s="331"/>
      <c r="R72" s="331"/>
      <c r="S72" s="331"/>
      <c r="T72" s="331"/>
      <c r="U72" s="331"/>
      <c r="V72" s="482" t="str">
        <f>P82</f>
        <v>Projected Year 4</v>
      </c>
      <c r="W72" s="331"/>
      <c r="X72" s="23"/>
      <c r="Y72" s="23"/>
      <c r="Z72" s="23"/>
      <c r="AA72" s="331"/>
      <c r="AB72" s="331"/>
      <c r="AC72" s="331"/>
      <c r="AD72" s="331"/>
      <c r="AE72" s="331"/>
      <c r="AF72" s="331"/>
      <c r="AG72" s="331"/>
    </row>
    <row r="73" spans="1:35" ht="12" thickBot="1" x14ac:dyDescent="0.25">
      <c r="A73" s="99">
        <v>73</v>
      </c>
      <c r="B73" s="107" t="s">
        <v>140</v>
      </c>
      <c r="C73" s="217" t="s">
        <v>443</v>
      </c>
      <c r="D73" s="128" t="s">
        <v>142</v>
      </c>
      <c r="E73" s="108" t="s">
        <v>142</v>
      </c>
      <c r="F73" s="108" t="s">
        <v>142</v>
      </c>
      <c r="G73" s="108" t="s">
        <v>142</v>
      </c>
      <c r="H73" s="109" t="s">
        <v>142</v>
      </c>
      <c r="I73" s="338" t="s">
        <v>246</v>
      </c>
      <c r="P73" s="331"/>
      <c r="Q73" s="331"/>
      <c r="R73" s="331"/>
      <c r="S73" s="331"/>
      <c r="T73" s="331"/>
      <c r="U73" s="331"/>
      <c r="V73" s="325"/>
      <c r="W73" s="325"/>
      <c r="X73" s="332" t="s">
        <v>261</v>
      </c>
      <c r="Y73" s="333"/>
      <c r="Z73" s="334"/>
      <c r="AA73" s="331"/>
      <c r="AB73" s="331"/>
      <c r="AC73" s="331"/>
      <c r="AD73" s="331"/>
      <c r="AE73" s="331"/>
      <c r="AF73" s="331"/>
      <c r="AG73" s="331"/>
    </row>
    <row r="74" spans="1:35" x14ac:dyDescent="0.2">
      <c r="A74" s="99">
        <v>74</v>
      </c>
      <c r="B74" s="107" t="s">
        <v>143</v>
      </c>
      <c r="C74" s="218" t="s">
        <v>106</v>
      </c>
      <c r="D74" s="129" t="s">
        <v>102</v>
      </c>
      <c r="E74" s="110" t="s">
        <v>47</v>
      </c>
      <c r="F74" s="110" t="s">
        <v>103</v>
      </c>
      <c r="G74" s="110" t="s">
        <v>48</v>
      </c>
      <c r="H74" s="111" t="s">
        <v>105</v>
      </c>
      <c r="I74" s="338" t="s">
        <v>53</v>
      </c>
      <c r="P74" s="331"/>
      <c r="Q74" s="331"/>
      <c r="R74" s="331"/>
      <c r="S74" s="331"/>
      <c r="T74" s="331"/>
      <c r="U74" s="331"/>
      <c r="V74" s="326"/>
      <c r="W74" s="326"/>
      <c r="X74" s="147" t="s">
        <v>465</v>
      </c>
      <c r="Y74" s="351"/>
      <c r="Z74" s="351"/>
      <c r="AA74" s="331"/>
      <c r="AB74" s="331"/>
      <c r="AC74" s="331"/>
      <c r="AD74" s="331"/>
      <c r="AE74" s="331"/>
      <c r="AF74" s="331"/>
      <c r="AG74" s="331"/>
    </row>
    <row r="75" spans="1:35" ht="12" thickBot="1" x14ac:dyDescent="0.25">
      <c r="A75" s="99">
        <v>75</v>
      </c>
      <c r="B75" s="113" t="s">
        <v>40</v>
      </c>
      <c r="C75" s="219" t="s">
        <v>354</v>
      </c>
      <c r="D75" s="130" t="s">
        <v>114</v>
      </c>
      <c r="E75" s="114" t="s">
        <v>114</v>
      </c>
      <c r="F75" s="114" t="s">
        <v>114</v>
      </c>
      <c r="G75" s="114" t="s">
        <v>114</v>
      </c>
      <c r="H75" s="115" t="s">
        <v>57</v>
      </c>
      <c r="I75" s="339" t="s">
        <v>263</v>
      </c>
      <c r="P75" s="331"/>
      <c r="Q75" s="331"/>
      <c r="R75" s="331"/>
      <c r="S75" s="331"/>
      <c r="T75" s="331"/>
      <c r="U75" s="331"/>
      <c r="V75" s="328" t="s">
        <v>240</v>
      </c>
      <c r="W75" s="328" t="s">
        <v>14</v>
      </c>
      <c r="X75" s="337" t="s">
        <v>264</v>
      </c>
      <c r="Y75" s="352"/>
      <c r="Z75" s="353"/>
      <c r="AA75" s="331"/>
      <c r="AB75" s="331"/>
      <c r="AC75" s="331"/>
      <c r="AD75" s="331"/>
      <c r="AE75" s="331"/>
      <c r="AF75" s="331"/>
      <c r="AG75" s="331"/>
    </row>
    <row r="76" spans="1:35" ht="23.25" thickBot="1" x14ac:dyDescent="0.25">
      <c r="A76" s="99">
        <v>76</v>
      </c>
      <c r="B76" s="380" t="str">
        <f>'D1. Member Months'!B$10</f>
        <v>Nursing Home Level of Care</v>
      </c>
      <c r="C76" s="220">
        <f>'D1. Member Months'!L32</f>
        <v>533777.37401923141</v>
      </c>
      <c r="D76" s="213">
        <f>'D5. Waiver Cost Projection'!O57</f>
        <v>3310.467122734738</v>
      </c>
      <c r="E76" s="40">
        <f>'D5. Waiver Cost Projection'!S57</f>
        <v>0</v>
      </c>
      <c r="F76" s="40">
        <f>'D5. Waiver Cost Projection'!W57</f>
        <v>0</v>
      </c>
      <c r="G76" s="40">
        <f>'D5. Waiver Cost Projection'!AA57</f>
        <v>128.32923109313688</v>
      </c>
      <c r="H76" s="159">
        <f>'D5. Waiver Cost Projection'!AB57</f>
        <v>3438.796353827875</v>
      </c>
      <c r="I76" s="349">
        <f>H76-G76</f>
        <v>3310.467122734738</v>
      </c>
      <c r="P76" s="331"/>
      <c r="Q76" s="331"/>
      <c r="R76" s="331"/>
      <c r="S76" s="331"/>
      <c r="T76" s="331"/>
      <c r="U76" s="331"/>
      <c r="V76" s="327"/>
      <c r="W76" s="327"/>
      <c r="X76" s="339" t="s">
        <v>262</v>
      </c>
      <c r="Y76" s="352"/>
      <c r="Z76" s="353"/>
      <c r="AA76" s="331"/>
      <c r="AB76" s="331"/>
      <c r="AC76" s="331"/>
      <c r="AD76" s="331"/>
      <c r="AE76" s="331"/>
      <c r="AF76" s="331"/>
      <c r="AG76" s="331"/>
      <c r="AH76" s="206"/>
    </row>
    <row r="77" spans="1:35" ht="12" thickBot="1" x14ac:dyDescent="0.25">
      <c r="A77" s="99">
        <v>77</v>
      </c>
      <c r="B77" s="380" t="str">
        <f>'D1. Member Months'!B$11</f>
        <v>Non-Nursing Home Level of Care</v>
      </c>
      <c r="C77" s="220">
        <f>'D1. Member Months'!L33</f>
        <v>17256.258201118566</v>
      </c>
      <c r="D77" s="213">
        <f>'D5. Waiver Cost Projection'!O58</f>
        <v>632.12027269610746</v>
      </c>
      <c r="E77" s="40">
        <f>'D5. Waiver Cost Projection'!S58</f>
        <v>0</v>
      </c>
      <c r="F77" s="40">
        <f>'D5. Waiver Cost Projection'!W58</f>
        <v>0</v>
      </c>
      <c r="G77" s="40">
        <f>'D5. Waiver Cost Projection'!AA58</f>
        <v>25.447940700935426</v>
      </c>
      <c r="H77" s="159">
        <f>'D5. Waiver Cost Projection'!AB58</f>
        <v>657.56821339704288</v>
      </c>
      <c r="I77" s="155">
        <f>H77-G77</f>
        <v>632.12027269610746</v>
      </c>
      <c r="P77" s="331"/>
      <c r="Q77" s="331"/>
      <c r="R77" s="331"/>
      <c r="S77" s="331"/>
      <c r="T77" s="331"/>
      <c r="U77" s="331"/>
      <c r="V77" s="392" t="s">
        <v>239</v>
      </c>
      <c r="W77" s="380"/>
      <c r="X77" s="367">
        <f>I76</f>
        <v>3310.467122734738</v>
      </c>
      <c r="Y77" s="354"/>
      <c r="Z77" s="353"/>
      <c r="AA77" s="331"/>
      <c r="AB77" s="331"/>
      <c r="AC77" s="331"/>
      <c r="AD77" s="331"/>
      <c r="AE77" s="331"/>
      <c r="AF77" s="331"/>
      <c r="AG77" s="331"/>
      <c r="AH77" s="206"/>
    </row>
    <row r="78" spans="1:35" ht="12" thickBot="1" x14ac:dyDescent="0.25">
      <c r="A78" s="99">
        <v>78</v>
      </c>
      <c r="B78" s="380"/>
      <c r="C78" s="220"/>
      <c r="D78" s="213"/>
      <c r="E78" s="40"/>
      <c r="F78" s="40"/>
      <c r="G78" s="40"/>
      <c r="H78" s="159"/>
      <c r="I78" s="155"/>
      <c r="P78" s="331"/>
      <c r="Q78" s="331"/>
      <c r="R78" s="331"/>
      <c r="S78" s="331"/>
      <c r="T78" s="331"/>
      <c r="U78" s="331"/>
      <c r="V78" s="392" t="s">
        <v>239</v>
      </c>
      <c r="W78" s="380"/>
      <c r="X78" s="367">
        <f>I77</f>
        <v>632.12027269610746</v>
      </c>
      <c r="AA78" s="331"/>
      <c r="AB78" s="331"/>
      <c r="AC78" s="331"/>
      <c r="AD78" s="331"/>
      <c r="AE78" s="331"/>
      <c r="AF78" s="331"/>
      <c r="AG78" s="331"/>
      <c r="AH78" s="206"/>
    </row>
    <row r="79" spans="1:35" ht="12" thickBot="1" x14ac:dyDescent="0.25">
      <c r="A79" s="99">
        <v>79</v>
      </c>
      <c r="B79" s="380"/>
      <c r="C79" s="220"/>
      <c r="D79" s="213"/>
      <c r="E79" s="40"/>
      <c r="F79" s="40"/>
      <c r="G79" s="40"/>
      <c r="H79" s="159"/>
      <c r="I79" s="155"/>
      <c r="P79" s="331"/>
      <c r="Q79" s="331"/>
      <c r="R79" s="331"/>
      <c r="S79" s="331"/>
      <c r="T79" s="331"/>
      <c r="U79" s="331"/>
      <c r="V79" s="392"/>
      <c r="W79" s="380"/>
      <c r="X79" s="367"/>
      <c r="AA79" s="331"/>
      <c r="AB79" s="331"/>
      <c r="AC79" s="331"/>
      <c r="AD79" s="331"/>
      <c r="AE79" s="331"/>
      <c r="AF79" s="331"/>
      <c r="AG79" s="331"/>
      <c r="AH79" s="206"/>
    </row>
    <row r="80" spans="1:35" ht="12.75" thickTop="1" thickBot="1" x14ac:dyDescent="0.25">
      <c r="A80" s="99">
        <v>80</v>
      </c>
      <c r="B80" s="120" t="s">
        <v>64</v>
      </c>
      <c r="C80" s="222">
        <f>SUM(C76:C79)</f>
        <v>551033.63222034997</v>
      </c>
      <c r="D80" s="215"/>
      <c r="E80" s="207"/>
      <c r="F80" s="207"/>
      <c r="G80" s="207"/>
      <c r="H80" s="208"/>
      <c r="I80" s="208"/>
      <c r="P80" s="331"/>
      <c r="Q80" s="331"/>
      <c r="R80" s="331"/>
      <c r="S80" s="331"/>
      <c r="T80" s="331"/>
      <c r="U80" s="331"/>
      <c r="V80" s="392"/>
      <c r="W80" s="381"/>
      <c r="X80" s="368"/>
      <c r="AA80" s="331"/>
      <c r="AB80" s="331"/>
      <c r="AC80" s="331"/>
      <c r="AD80" s="331"/>
      <c r="AE80" s="331"/>
      <c r="AF80" s="331"/>
      <c r="AG80" s="331"/>
      <c r="AH80" s="206"/>
    </row>
    <row r="81" spans="1:35" ht="12" thickBot="1" x14ac:dyDescent="0.25">
      <c r="A81" s="99">
        <v>81</v>
      </c>
      <c r="B81" s="269" t="s">
        <v>421</v>
      </c>
      <c r="C81" s="223"/>
      <c r="D81" s="204">
        <f>SUMPRODUCT(D76:D79,$C76:$C79)/$C80</f>
        <v>3226.5915803106104</v>
      </c>
      <c r="E81" s="205">
        <f>SUMPRODUCT(E76:E79,$C76:$C79)/$C80</f>
        <v>0</v>
      </c>
      <c r="F81" s="205">
        <f>SUMPRODUCT(F76:F79,$C76:$C79)/$C80</f>
        <v>0</v>
      </c>
      <c r="G81" s="347">
        <f>SUMPRODUCT(G76:G79,$C76:$C79)/$C80</f>
        <v>125.10738399113974</v>
      </c>
      <c r="H81" s="205">
        <f>SUMPRODUCT(H76:H79,$C76:$C79)/$C80</f>
        <v>3351.6989643017505</v>
      </c>
      <c r="I81" s="205"/>
      <c r="J81" s="122"/>
      <c r="K81" s="123"/>
      <c r="L81" s="123"/>
      <c r="M81" s="123"/>
      <c r="N81" s="123"/>
      <c r="O81" s="124"/>
      <c r="P81" s="124"/>
      <c r="Q81" s="124"/>
      <c r="R81" s="123"/>
      <c r="S81" s="123"/>
      <c r="T81" s="123"/>
      <c r="U81" s="123"/>
      <c r="V81" s="320" t="s">
        <v>238</v>
      </c>
      <c r="W81" s="336" t="s">
        <v>24</v>
      </c>
      <c r="X81" s="205">
        <f>G81</f>
        <v>125.10738399113974</v>
      </c>
      <c r="Y81" s="124"/>
      <c r="Z81" s="124"/>
      <c r="AA81" s="123"/>
      <c r="AB81" s="123"/>
      <c r="AC81" s="123"/>
      <c r="AD81" s="123"/>
      <c r="AE81" s="123"/>
      <c r="AF81" s="123"/>
      <c r="AG81" s="331"/>
      <c r="AH81" s="206"/>
    </row>
    <row r="82" spans="1:35" ht="13.5" thickBot="1" x14ac:dyDescent="0.25">
      <c r="A82" s="99">
        <v>82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481" t="s">
        <v>352</v>
      </c>
      <c r="Q82" s="479"/>
      <c r="R82" s="426"/>
      <c r="S82" s="479"/>
      <c r="T82" s="103"/>
      <c r="U82" s="363"/>
      <c r="V82" s="482" t="str">
        <f>P82</f>
        <v>Projected Year 4</v>
      </c>
      <c r="W82" s="331"/>
      <c r="X82" s="355" t="s">
        <v>258</v>
      </c>
      <c r="Y82" s="345"/>
      <c r="Z82" s="346"/>
      <c r="AA82" s="355" t="s">
        <v>258</v>
      </c>
      <c r="AB82" s="345"/>
      <c r="AC82" s="346"/>
      <c r="AD82" s="355" t="s">
        <v>258</v>
      </c>
      <c r="AE82" s="345"/>
      <c r="AF82" s="346"/>
      <c r="AG82" s="355" t="s">
        <v>258</v>
      </c>
      <c r="AH82" s="345"/>
      <c r="AI82" s="346"/>
    </row>
    <row r="83" spans="1:35" x14ac:dyDescent="0.2">
      <c r="A83" s="99">
        <v>83</v>
      </c>
      <c r="B83" s="147"/>
      <c r="C83" s="307" t="s">
        <v>412</v>
      </c>
      <c r="D83" s="105"/>
      <c r="E83" s="106"/>
      <c r="F83" s="307" t="s">
        <v>413</v>
      </c>
      <c r="G83" s="105"/>
      <c r="H83" s="106"/>
      <c r="I83" s="307" t="s">
        <v>414</v>
      </c>
      <c r="J83" s="105"/>
      <c r="K83" s="106"/>
      <c r="L83" s="307" t="s">
        <v>415</v>
      </c>
      <c r="M83" s="105"/>
      <c r="N83" s="106"/>
      <c r="O83" s="360"/>
      <c r="P83" s="325"/>
      <c r="Q83" s="325"/>
      <c r="R83" s="321"/>
      <c r="S83" s="321"/>
      <c r="T83" s="321"/>
      <c r="U83" s="321"/>
      <c r="V83" s="325"/>
      <c r="W83" s="325"/>
      <c r="X83" s="307" t="s">
        <v>427</v>
      </c>
      <c r="Y83" s="105"/>
      <c r="Z83" s="106"/>
      <c r="AA83" s="307" t="s">
        <v>428</v>
      </c>
      <c r="AB83" s="105"/>
      <c r="AC83" s="106"/>
      <c r="AD83" s="307" t="s">
        <v>429</v>
      </c>
      <c r="AE83" s="105"/>
      <c r="AF83" s="106"/>
      <c r="AG83" s="307" t="s">
        <v>430</v>
      </c>
      <c r="AH83" s="105"/>
      <c r="AI83" s="106"/>
    </row>
    <row r="84" spans="1:35" ht="22.5" x14ac:dyDescent="0.2">
      <c r="A84" s="99">
        <v>84</v>
      </c>
      <c r="B84" s="148" t="s">
        <v>140</v>
      </c>
      <c r="C84" s="201" t="s">
        <v>106</v>
      </c>
      <c r="D84" s="112" t="s">
        <v>237</v>
      </c>
      <c r="E84" s="306" t="s">
        <v>236</v>
      </c>
      <c r="F84" s="107" t="s">
        <v>106</v>
      </c>
      <c r="G84" s="112" t="s">
        <v>237</v>
      </c>
      <c r="H84" s="306" t="s">
        <v>236</v>
      </c>
      <c r="I84" s="107" t="s">
        <v>106</v>
      </c>
      <c r="J84" s="112" t="s">
        <v>237</v>
      </c>
      <c r="K84" s="306" t="s">
        <v>236</v>
      </c>
      <c r="L84" s="107" t="s">
        <v>106</v>
      </c>
      <c r="M84" s="112" t="s">
        <v>237</v>
      </c>
      <c r="N84" s="306" t="s">
        <v>236</v>
      </c>
      <c r="O84" s="338"/>
      <c r="P84" s="326"/>
      <c r="Q84" s="326"/>
      <c r="R84" s="322"/>
      <c r="S84" s="322"/>
      <c r="T84" s="323"/>
      <c r="U84" s="324"/>
      <c r="V84" s="326"/>
      <c r="W84" s="326"/>
      <c r="X84" s="201" t="s">
        <v>106</v>
      </c>
      <c r="Y84" s="110" t="s">
        <v>249</v>
      </c>
      <c r="Z84" s="306" t="s">
        <v>249</v>
      </c>
      <c r="AA84" s="201" t="s">
        <v>106</v>
      </c>
      <c r="AB84" s="110" t="s">
        <v>249</v>
      </c>
      <c r="AC84" s="306" t="s">
        <v>249</v>
      </c>
      <c r="AD84" s="201" t="s">
        <v>106</v>
      </c>
      <c r="AE84" s="110" t="s">
        <v>249</v>
      </c>
      <c r="AF84" s="306" t="s">
        <v>249</v>
      </c>
      <c r="AG84" s="201" t="s">
        <v>106</v>
      </c>
      <c r="AH84" s="110" t="s">
        <v>249</v>
      </c>
      <c r="AI84" s="306" t="s">
        <v>249</v>
      </c>
    </row>
    <row r="85" spans="1:35" ht="22.5" x14ac:dyDescent="0.2">
      <c r="A85" s="99">
        <v>85</v>
      </c>
      <c r="B85" s="148" t="s">
        <v>143</v>
      </c>
      <c r="C85" s="201" t="s">
        <v>144</v>
      </c>
      <c r="D85" s="112" t="s">
        <v>53</v>
      </c>
      <c r="E85" s="111" t="s">
        <v>48</v>
      </c>
      <c r="F85" s="107" t="s">
        <v>144</v>
      </c>
      <c r="G85" s="112" t="s">
        <v>53</v>
      </c>
      <c r="H85" s="111" t="s">
        <v>48</v>
      </c>
      <c r="I85" s="107" t="s">
        <v>144</v>
      </c>
      <c r="J85" s="112" t="s">
        <v>53</v>
      </c>
      <c r="K85" s="111" t="s">
        <v>48</v>
      </c>
      <c r="L85" s="107" t="s">
        <v>144</v>
      </c>
      <c r="M85" s="112" t="s">
        <v>53</v>
      </c>
      <c r="N85" s="111" t="s">
        <v>48</v>
      </c>
      <c r="O85" s="338" t="s">
        <v>461</v>
      </c>
      <c r="P85" s="328" t="s">
        <v>240</v>
      </c>
      <c r="Q85" s="328" t="s">
        <v>14</v>
      </c>
      <c r="R85" s="329" t="s">
        <v>412</v>
      </c>
      <c r="S85" s="329" t="s">
        <v>413</v>
      </c>
      <c r="T85" s="329" t="s">
        <v>414</v>
      </c>
      <c r="U85" s="329" t="s">
        <v>415</v>
      </c>
      <c r="V85" s="328" t="s">
        <v>240</v>
      </c>
      <c r="W85" s="328" t="s">
        <v>14</v>
      </c>
      <c r="X85" s="201" t="s">
        <v>244</v>
      </c>
      <c r="Y85" s="112" t="s">
        <v>247</v>
      </c>
      <c r="Z85" s="111" t="s">
        <v>248</v>
      </c>
      <c r="AA85" s="201" t="s">
        <v>244</v>
      </c>
      <c r="AB85" s="112" t="s">
        <v>247</v>
      </c>
      <c r="AC85" s="111" t="s">
        <v>248</v>
      </c>
      <c r="AD85" s="201" t="s">
        <v>244</v>
      </c>
      <c r="AE85" s="112" t="s">
        <v>247</v>
      </c>
      <c r="AF85" s="111" t="s">
        <v>248</v>
      </c>
      <c r="AG85" s="201" t="s">
        <v>244</v>
      </c>
      <c r="AH85" s="112" t="s">
        <v>247</v>
      </c>
      <c r="AI85" s="111" t="s">
        <v>248</v>
      </c>
    </row>
    <row r="86" spans="1:35" ht="23.25" thickBot="1" x14ac:dyDescent="0.25">
      <c r="A86" s="99">
        <v>86</v>
      </c>
      <c r="B86" s="149" t="s">
        <v>40</v>
      </c>
      <c r="C86" s="113"/>
      <c r="D86" s="308" t="s">
        <v>145</v>
      </c>
      <c r="E86" s="115" t="s">
        <v>52</v>
      </c>
      <c r="F86" s="113"/>
      <c r="G86" s="308" t="s">
        <v>145</v>
      </c>
      <c r="H86" s="115" t="s">
        <v>52</v>
      </c>
      <c r="I86" s="113"/>
      <c r="J86" s="308" t="s">
        <v>145</v>
      </c>
      <c r="K86" s="115" t="s">
        <v>52</v>
      </c>
      <c r="L86" s="113"/>
      <c r="M86" s="308" t="s">
        <v>145</v>
      </c>
      <c r="N86" s="115" t="s">
        <v>52</v>
      </c>
      <c r="O86" s="339" t="s">
        <v>57</v>
      </c>
      <c r="P86" s="327"/>
      <c r="Q86" s="327"/>
      <c r="R86" s="424"/>
      <c r="S86" s="424"/>
      <c r="T86" s="425"/>
      <c r="U86" s="425"/>
      <c r="V86" s="327"/>
      <c r="W86" s="327"/>
      <c r="X86" s="488">
        <f>R86</f>
        <v>0</v>
      </c>
      <c r="Y86" s="308" t="s">
        <v>245</v>
      </c>
      <c r="Z86" s="115"/>
      <c r="AA86" s="488">
        <f>S86</f>
        <v>0</v>
      </c>
      <c r="AB86" s="308" t="s">
        <v>245</v>
      </c>
      <c r="AC86" s="115"/>
      <c r="AD86" s="488">
        <f>T86</f>
        <v>0</v>
      </c>
      <c r="AE86" s="308" t="s">
        <v>245</v>
      </c>
      <c r="AF86" s="115"/>
      <c r="AG86" s="488">
        <f>U86</f>
        <v>0</v>
      </c>
      <c r="AH86" s="308" t="s">
        <v>245</v>
      </c>
      <c r="AI86" s="115"/>
    </row>
    <row r="87" spans="1:35" ht="12" thickBot="1" x14ac:dyDescent="0.25">
      <c r="A87" s="99">
        <v>87</v>
      </c>
      <c r="B87" s="380" t="str">
        <f>'D1. Member Months'!B$10</f>
        <v>Nursing Home Level of Care</v>
      </c>
      <c r="C87" s="209">
        <f>'D1. Member Months'!H32</f>
        <v>130030.84897951693</v>
      </c>
      <c r="D87" s="569">
        <f>C87*($D76+$E76+$F76)</f>
        <v>430462850.48797667</v>
      </c>
      <c r="E87" s="570">
        <f>C87*$G76</f>
        <v>16686758.867929211</v>
      </c>
      <c r="F87" s="209">
        <f>'D1. Member Months'!I32</f>
        <v>133115.92913229976</v>
      </c>
      <c r="G87" s="569">
        <f>F87*($D76+$E76+$F76)</f>
        <v>440675906.90476567</v>
      </c>
      <c r="H87" s="570">
        <f>F87*$G76</f>
        <v>17082664.831796527</v>
      </c>
      <c r="I87" s="209">
        <f>'D1. Member Months'!J32</f>
        <v>134966.69817892695</v>
      </c>
      <c r="J87" s="569">
        <f>I87*($D76+$E76+$F76)</f>
        <v>446802816.98540008</v>
      </c>
      <c r="K87" s="570">
        <f>I87*$G76</f>
        <v>17320172.600481175</v>
      </c>
      <c r="L87" s="209">
        <f>'D1. Member Months'!K32</f>
        <v>135663.89772848779</v>
      </c>
      <c r="M87" s="569">
        <f>L87*($D76+$E76+$F76)</f>
        <v>449110873.17220676</v>
      </c>
      <c r="N87" s="570">
        <f>L87*$G76</f>
        <v>17409643.682594799</v>
      </c>
      <c r="O87" s="575">
        <f>D87+E87+G87+H87+J87+K87+M87+N87</f>
        <v>1835551687.5331511</v>
      </c>
      <c r="P87" s="392" t="s">
        <v>239</v>
      </c>
      <c r="Q87" s="380" t="str">
        <f>'D1. Member Months'!B$10</f>
        <v>Nursing Home Level of Care</v>
      </c>
      <c r="R87" s="578">
        <f>D87</f>
        <v>430462850.48797667</v>
      </c>
      <c r="S87" s="578">
        <f>G87</f>
        <v>440675906.90476567</v>
      </c>
      <c r="T87" s="578">
        <f>J87</f>
        <v>446802816.98540008</v>
      </c>
      <c r="U87" s="578">
        <f>M87</f>
        <v>449110873.17220676</v>
      </c>
      <c r="V87" s="392" t="s">
        <v>239</v>
      </c>
      <c r="W87" s="380"/>
      <c r="X87" s="340"/>
      <c r="Y87" s="341"/>
      <c r="Z87" s="342"/>
      <c r="AA87" s="340"/>
      <c r="AB87" s="341"/>
      <c r="AC87" s="342"/>
      <c r="AD87" s="340"/>
      <c r="AE87" s="341"/>
      <c r="AF87" s="342"/>
      <c r="AG87" s="340"/>
      <c r="AH87" s="341"/>
      <c r="AI87" s="342"/>
    </row>
    <row r="88" spans="1:35" ht="12" thickBot="1" x14ac:dyDescent="0.25">
      <c r="A88" s="99">
        <v>88</v>
      </c>
      <c r="B88" s="380" t="str">
        <f>'D1. Member Months'!B$11</f>
        <v>Non-Nursing Home Level of Care</v>
      </c>
      <c r="C88" s="209">
        <f>'D1. Member Months'!H33</f>
        <v>4274.2883051727076</v>
      </c>
      <c r="D88" s="569">
        <f>C88*($D77+$E77+$F77)</f>
        <v>2701864.2890475551</v>
      </c>
      <c r="E88" s="570">
        <f>C88*$G77</f>
        <v>108771.83532873685</v>
      </c>
      <c r="F88" s="209">
        <f>'D1. Member Months'!I33</f>
        <v>4299.2179264059068</v>
      </c>
      <c r="G88" s="569">
        <f>F88*($D77+$E77+$F77)</f>
        <v>2717622.8080196953</v>
      </c>
      <c r="H88" s="570">
        <f>F88*$G77</f>
        <v>109406.24285157608</v>
      </c>
      <c r="I88" s="209">
        <f>'D1. Member Months'!J33</f>
        <v>4327.7861088161635</v>
      </c>
      <c r="J88" s="569">
        <f>I88*($D77+$E77+$F77)</f>
        <v>2735681.3352752989</v>
      </c>
      <c r="K88" s="570">
        <f>I88*$G77</f>
        <v>110133.2442634858</v>
      </c>
      <c r="L88" s="209">
        <f>'D1. Member Months'!K33</f>
        <v>4354.965860723787</v>
      </c>
      <c r="M88" s="569">
        <f>L88*($D77+$E77+$F77)</f>
        <v>2752862.2074629585</v>
      </c>
      <c r="N88" s="570">
        <f>L88*$G77</f>
        <v>110824.91297829714</v>
      </c>
      <c r="O88" s="575">
        <f>D88+E88+G88+H88+J88+K88+M88+N88</f>
        <v>11347166.875227604</v>
      </c>
      <c r="P88" s="392" t="s">
        <v>239</v>
      </c>
      <c r="Q88" s="380" t="str">
        <f>'D1. Member Months'!B$11</f>
        <v>Non-Nursing Home Level of Care</v>
      </c>
      <c r="R88" s="578">
        <f>D88</f>
        <v>2701864.2890475551</v>
      </c>
      <c r="S88" s="578">
        <f>G88</f>
        <v>2717622.8080196953</v>
      </c>
      <c r="T88" s="578">
        <f>J88</f>
        <v>2735681.3352752989</v>
      </c>
      <c r="U88" s="578">
        <f>M88</f>
        <v>2752862.2074629585</v>
      </c>
      <c r="V88" s="392" t="s">
        <v>239</v>
      </c>
      <c r="W88" s="380"/>
      <c r="X88" s="340"/>
      <c r="Y88" s="341"/>
      <c r="Z88" s="342"/>
      <c r="AA88" s="340"/>
      <c r="AB88" s="341"/>
      <c r="AC88" s="342"/>
      <c r="AD88" s="340"/>
      <c r="AE88" s="341"/>
      <c r="AF88" s="342"/>
      <c r="AG88" s="340"/>
      <c r="AH88" s="341"/>
      <c r="AI88" s="342"/>
    </row>
    <row r="89" spans="1:35" ht="12" thickBot="1" x14ac:dyDescent="0.25">
      <c r="A89" s="99">
        <v>89</v>
      </c>
      <c r="B89" s="380"/>
      <c r="C89" s="209"/>
      <c r="D89" s="287"/>
      <c r="E89" s="210"/>
      <c r="F89" s="209"/>
      <c r="G89" s="287"/>
      <c r="H89" s="210"/>
      <c r="I89" s="209"/>
      <c r="J89" s="287"/>
      <c r="K89" s="210"/>
      <c r="L89" s="209"/>
      <c r="M89" s="287"/>
      <c r="N89" s="210"/>
      <c r="O89" s="361"/>
      <c r="P89" s="392"/>
      <c r="Q89" s="380"/>
      <c r="R89" s="578"/>
      <c r="S89" s="578"/>
      <c r="T89" s="578"/>
      <c r="U89" s="578"/>
      <c r="V89" s="392"/>
      <c r="W89" s="380"/>
      <c r="X89" s="340"/>
      <c r="Y89" s="341"/>
      <c r="Z89" s="342"/>
      <c r="AA89" s="340"/>
      <c r="AB89" s="341"/>
      <c r="AC89" s="342"/>
      <c r="AD89" s="340"/>
      <c r="AE89" s="341"/>
      <c r="AF89" s="342"/>
      <c r="AG89" s="340"/>
      <c r="AH89" s="341"/>
      <c r="AI89" s="342"/>
    </row>
    <row r="90" spans="1:35" ht="12" thickBot="1" x14ac:dyDescent="0.25">
      <c r="A90" s="99">
        <v>90</v>
      </c>
      <c r="B90" s="380"/>
      <c r="C90" s="209"/>
      <c r="D90" s="288"/>
      <c r="E90" s="212"/>
      <c r="F90" s="209"/>
      <c r="G90" s="288"/>
      <c r="H90" s="212"/>
      <c r="I90" s="209"/>
      <c r="J90" s="288"/>
      <c r="K90" s="212"/>
      <c r="L90" s="209"/>
      <c r="M90" s="288"/>
      <c r="N90" s="212"/>
      <c r="O90" s="362"/>
      <c r="P90" s="392"/>
      <c r="Q90" s="380"/>
      <c r="R90" s="578"/>
      <c r="S90" s="578"/>
      <c r="T90" s="578"/>
      <c r="U90" s="578"/>
      <c r="V90" s="392"/>
      <c r="W90" s="381"/>
      <c r="X90" s="343"/>
      <c r="Y90" s="344"/>
      <c r="Z90" s="356"/>
      <c r="AA90" s="343"/>
      <c r="AB90" s="344"/>
      <c r="AC90" s="342"/>
      <c r="AD90" s="343"/>
      <c r="AE90" s="344"/>
      <c r="AF90" s="342"/>
      <c r="AG90" s="343"/>
      <c r="AH90" s="344"/>
      <c r="AI90" s="342"/>
    </row>
    <row r="91" spans="1:35" ht="12.75" thickTop="1" thickBot="1" x14ac:dyDescent="0.25">
      <c r="A91" s="99">
        <v>91</v>
      </c>
      <c r="B91" s="121" t="s">
        <v>64</v>
      </c>
      <c r="C91" s="305">
        <f t="shared" ref="C91:O91" si="3">SUM(C87:C90)</f>
        <v>134305.13728468964</v>
      </c>
      <c r="D91" s="573">
        <f t="shared" si="3"/>
        <v>433164714.77702421</v>
      </c>
      <c r="E91" s="574">
        <f t="shared" si="3"/>
        <v>16795530.703257948</v>
      </c>
      <c r="F91" s="305">
        <f t="shared" si="3"/>
        <v>137415.14705870565</v>
      </c>
      <c r="G91" s="573">
        <f t="shared" si="3"/>
        <v>443393529.71278536</v>
      </c>
      <c r="H91" s="574">
        <f t="shared" si="3"/>
        <v>17192071.074648105</v>
      </c>
      <c r="I91" s="305">
        <f t="shared" si="3"/>
        <v>139294.48428774311</v>
      </c>
      <c r="J91" s="573">
        <f t="shared" si="3"/>
        <v>449538498.32067537</v>
      </c>
      <c r="K91" s="574">
        <f t="shared" si="3"/>
        <v>17430305.84474466</v>
      </c>
      <c r="L91" s="305">
        <f t="shared" si="3"/>
        <v>140018.86358921157</v>
      </c>
      <c r="M91" s="573">
        <f t="shared" si="3"/>
        <v>451863735.37966973</v>
      </c>
      <c r="N91" s="574">
        <f t="shared" si="3"/>
        <v>17520468.595573097</v>
      </c>
      <c r="O91" s="577">
        <f t="shared" si="3"/>
        <v>1846898854.4083788</v>
      </c>
      <c r="P91" s="320" t="s">
        <v>238</v>
      </c>
      <c r="Q91" s="320"/>
      <c r="R91" s="578">
        <f>E91</f>
        <v>16795530.703257948</v>
      </c>
      <c r="S91" s="578">
        <f>H91</f>
        <v>17192071.074648105</v>
      </c>
      <c r="T91" s="578">
        <f>K91</f>
        <v>17430305.84474466</v>
      </c>
      <c r="U91" s="578">
        <f>N91</f>
        <v>17520468.595573097</v>
      </c>
      <c r="V91" s="320" t="s">
        <v>238</v>
      </c>
      <c r="W91" s="336" t="s">
        <v>24</v>
      </c>
      <c r="X91" s="357"/>
      <c r="Y91" s="358"/>
      <c r="Z91" s="359"/>
      <c r="AA91" s="357"/>
      <c r="AB91" s="358"/>
      <c r="AC91" s="359"/>
      <c r="AD91" s="357"/>
      <c r="AE91" s="358"/>
      <c r="AF91" s="359"/>
      <c r="AG91" s="357"/>
      <c r="AH91" s="358"/>
      <c r="AI91" s="359"/>
    </row>
    <row r="92" spans="1:35" x14ac:dyDescent="0.2">
      <c r="A92" s="99">
        <v>92</v>
      </c>
    </row>
    <row r="93" spans="1:35" ht="13.5" thickBot="1" x14ac:dyDescent="0.25">
      <c r="A93" s="99">
        <v>93</v>
      </c>
      <c r="B93" s="268" t="s">
        <v>359</v>
      </c>
      <c r="C93" s="203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2"/>
      <c r="P93" s="102"/>
      <c r="Q93" s="102"/>
      <c r="R93" s="101"/>
      <c r="S93" s="101"/>
      <c r="T93" s="101"/>
      <c r="U93" s="101"/>
      <c r="V93" s="102"/>
      <c r="W93" s="102"/>
      <c r="X93" s="102"/>
      <c r="Y93" s="102"/>
      <c r="Z93" s="101"/>
      <c r="AA93" s="101"/>
      <c r="AB93" s="101"/>
      <c r="AC93" s="101"/>
      <c r="AD93" s="101"/>
      <c r="AE93" s="101"/>
      <c r="AF93" s="101"/>
      <c r="AG93" s="103"/>
      <c r="AH93" s="103"/>
      <c r="AI93" s="103"/>
    </row>
    <row r="94" spans="1:35" ht="12" thickBot="1" x14ac:dyDescent="0.25">
      <c r="A94" s="99">
        <v>94</v>
      </c>
      <c r="B94" s="104"/>
      <c r="C94" s="216" t="s">
        <v>17</v>
      </c>
      <c r="D94" s="127" t="s">
        <v>459</v>
      </c>
      <c r="E94" s="105"/>
      <c r="F94" s="105"/>
      <c r="G94" s="105"/>
      <c r="H94" s="106"/>
      <c r="I94" s="350" t="s">
        <v>142</v>
      </c>
      <c r="P94" s="331"/>
      <c r="Q94" s="331"/>
      <c r="R94" s="331"/>
      <c r="S94" s="331"/>
      <c r="T94" s="331"/>
      <c r="U94" s="331"/>
      <c r="V94" s="482" t="str">
        <f>P104</f>
        <v>Projected Year 5</v>
      </c>
      <c r="W94" s="331"/>
      <c r="X94" s="23"/>
      <c r="Y94" s="23"/>
      <c r="Z94" s="23"/>
      <c r="AA94" s="331"/>
      <c r="AB94" s="331"/>
      <c r="AC94" s="331"/>
      <c r="AD94" s="331"/>
      <c r="AE94" s="331"/>
      <c r="AF94" s="331"/>
      <c r="AG94" s="331"/>
    </row>
    <row r="95" spans="1:35" ht="12" thickBot="1" x14ac:dyDescent="0.25">
      <c r="A95" s="99">
        <v>95</v>
      </c>
      <c r="B95" s="107" t="s">
        <v>140</v>
      </c>
      <c r="C95" s="217" t="s">
        <v>444</v>
      </c>
      <c r="D95" s="128" t="s">
        <v>142</v>
      </c>
      <c r="E95" s="108" t="s">
        <v>142</v>
      </c>
      <c r="F95" s="108" t="s">
        <v>142</v>
      </c>
      <c r="G95" s="108" t="s">
        <v>142</v>
      </c>
      <c r="H95" s="109" t="s">
        <v>142</v>
      </c>
      <c r="I95" s="338" t="s">
        <v>246</v>
      </c>
      <c r="P95" s="331"/>
      <c r="Q95" s="331"/>
      <c r="R95" s="331"/>
      <c r="S95" s="331"/>
      <c r="T95" s="331"/>
      <c r="U95" s="331"/>
      <c r="V95" s="325"/>
      <c r="W95" s="325"/>
      <c r="X95" s="332" t="s">
        <v>261</v>
      </c>
      <c r="Y95" s="333"/>
      <c r="Z95" s="334"/>
      <c r="AA95" s="331"/>
      <c r="AB95" s="331"/>
      <c r="AC95" s="331"/>
      <c r="AD95" s="331"/>
      <c r="AE95" s="331"/>
      <c r="AF95" s="331"/>
      <c r="AG95" s="331"/>
    </row>
    <row r="96" spans="1:35" x14ac:dyDescent="0.2">
      <c r="A96" s="99">
        <v>96</v>
      </c>
      <c r="B96" s="107" t="s">
        <v>143</v>
      </c>
      <c r="C96" s="218" t="s">
        <v>106</v>
      </c>
      <c r="D96" s="129" t="s">
        <v>102</v>
      </c>
      <c r="E96" s="110" t="s">
        <v>47</v>
      </c>
      <c r="F96" s="110" t="s">
        <v>103</v>
      </c>
      <c r="G96" s="110" t="s">
        <v>48</v>
      </c>
      <c r="H96" s="111" t="s">
        <v>105</v>
      </c>
      <c r="I96" s="338" t="s">
        <v>53</v>
      </c>
      <c r="P96" s="331"/>
      <c r="Q96" s="331"/>
      <c r="R96" s="331"/>
      <c r="S96" s="331"/>
      <c r="T96" s="331"/>
      <c r="U96" s="331"/>
      <c r="V96" s="326"/>
      <c r="W96" s="326"/>
      <c r="X96" s="147" t="s">
        <v>466</v>
      </c>
      <c r="Y96" s="351"/>
      <c r="Z96" s="351"/>
      <c r="AA96" s="331"/>
      <c r="AB96" s="331"/>
      <c r="AC96" s="331"/>
      <c r="AD96" s="331"/>
      <c r="AE96" s="331"/>
      <c r="AF96" s="331"/>
      <c r="AG96" s="331"/>
    </row>
    <row r="97" spans="1:35" ht="12" thickBot="1" x14ac:dyDescent="0.25">
      <c r="A97" s="99">
        <v>97</v>
      </c>
      <c r="B97" s="113" t="s">
        <v>40</v>
      </c>
      <c r="C97" s="219" t="s">
        <v>360</v>
      </c>
      <c r="D97" s="130" t="s">
        <v>114</v>
      </c>
      <c r="E97" s="114" t="s">
        <v>114</v>
      </c>
      <c r="F97" s="114" t="s">
        <v>114</v>
      </c>
      <c r="G97" s="114" t="s">
        <v>114</v>
      </c>
      <c r="H97" s="115" t="s">
        <v>57</v>
      </c>
      <c r="I97" s="339" t="s">
        <v>263</v>
      </c>
      <c r="P97" s="331"/>
      <c r="Q97" s="331"/>
      <c r="R97" s="331"/>
      <c r="S97" s="331"/>
      <c r="T97" s="331"/>
      <c r="U97" s="331"/>
      <c r="V97" s="328" t="s">
        <v>240</v>
      </c>
      <c r="W97" s="328" t="s">
        <v>14</v>
      </c>
      <c r="X97" s="337" t="s">
        <v>264</v>
      </c>
      <c r="Y97" s="352"/>
      <c r="Z97" s="353"/>
      <c r="AA97" s="331"/>
      <c r="AB97" s="331"/>
      <c r="AC97" s="331"/>
      <c r="AD97" s="331"/>
      <c r="AE97" s="331"/>
      <c r="AF97" s="331"/>
      <c r="AG97" s="331"/>
    </row>
    <row r="98" spans="1:35" ht="23.25" thickBot="1" x14ac:dyDescent="0.25">
      <c r="A98" s="99">
        <v>98</v>
      </c>
      <c r="B98" s="380" t="str">
        <f>'D1. Member Months'!B$10</f>
        <v>Nursing Home Level of Care</v>
      </c>
      <c r="C98" s="220">
        <f>'D1. Member Months'!Q32</f>
        <v>549749.62834481953</v>
      </c>
      <c r="D98" s="213">
        <f>'D5. Waiver Cost Projection'!O70</f>
        <v>3385.2535648779235</v>
      </c>
      <c r="E98" s="40">
        <f>'D5. Waiver Cost Projection'!S70</f>
        <v>0</v>
      </c>
      <c r="F98" s="40">
        <f>'D5. Waiver Cost Projection'!W70</f>
        <v>0</v>
      </c>
      <c r="G98" s="40">
        <f>'D5. Waiver Cost Projection'!AA70</f>
        <v>132.06564388282132</v>
      </c>
      <c r="H98" s="159">
        <f>'D5. Waiver Cost Projection'!AB70</f>
        <v>3517.3192087607449</v>
      </c>
      <c r="I98" s="349">
        <f>H98-G98</f>
        <v>3385.2535648779235</v>
      </c>
      <c r="P98" s="331"/>
      <c r="Q98" s="331"/>
      <c r="R98" s="331"/>
      <c r="S98" s="331"/>
      <c r="T98" s="331"/>
      <c r="U98" s="331"/>
      <c r="V98" s="327"/>
      <c r="W98" s="327"/>
      <c r="X98" s="339" t="s">
        <v>262</v>
      </c>
      <c r="Y98" s="352"/>
      <c r="Z98" s="353"/>
      <c r="AA98" s="331"/>
      <c r="AB98" s="331"/>
      <c r="AC98" s="331"/>
      <c r="AD98" s="331"/>
      <c r="AE98" s="331"/>
      <c r="AF98" s="331"/>
      <c r="AG98" s="331"/>
      <c r="AH98" s="206"/>
    </row>
    <row r="99" spans="1:35" ht="12" thickBot="1" x14ac:dyDescent="0.25">
      <c r="A99" s="99">
        <v>99</v>
      </c>
      <c r="B99" s="380" t="str">
        <f>'D1. Member Months'!B$11</f>
        <v>Non-Nursing Home Level of Care</v>
      </c>
      <c r="C99" s="220">
        <f>'D1. Member Months'!Q33</f>
        <v>17695.548654704355</v>
      </c>
      <c r="D99" s="213">
        <f>'D5. Waiver Cost Projection'!O71</f>
        <v>649.80683322759785</v>
      </c>
      <c r="E99" s="40">
        <f>'D5. Waiver Cost Projection'!S71</f>
        <v>0</v>
      </c>
      <c r="F99" s="40">
        <f>'D5. Waiver Cost Projection'!W71</f>
        <v>0</v>
      </c>
      <c r="G99" s="40">
        <f>'D5. Waiver Cost Projection'!AA71</f>
        <v>26.188878757652191</v>
      </c>
      <c r="H99" s="159">
        <f>'D5. Waiver Cost Projection'!AB71</f>
        <v>675.99571198525007</v>
      </c>
      <c r="I99" s="155">
        <f>H99-G99</f>
        <v>649.80683322759785</v>
      </c>
      <c r="P99" s="331"/>
      <c r="Q99" s="331"/>
      <c r="R99" s="331"/>
      <c r="S99" s="331"/>
      <c r="T99" s="331"/>
      <c r="U99" s="331"/>
      <c r="V99" s="392" t="s">
        <v>239</v>
      </c>
      <c r="W99" s="380"/>
      <c r="X99" s="367">
        <f>I98</f>
        <v>3385.2535648779235</v>
      </c>
      <c r="Y99" s="354"/>
      <c r="Z99" s="353"/>
      <c r="AA99" s="331"/>
      <c r="AB99" s="331"/>
      <c r="AC99" s="331"/>
      <c r="AD99" s="331"/>
      <c r="AE99" s="331"/>
      <c r="AF99" s="331"/>
      <c r="AG99" s="331"/>
      <c r="AH99" s="206"/>
    </row>
    <row r="100" spans="1:35" ht="12" thickBot="1" x14ac:dyDescent="0.25">
      <c r="A100" s="99">
        <v>100</v>
      </c>
      <c r="B100" s="380"/>
      <c r="C100" s="220"/>
      <c r="D100" s="213"/>
      <c r="E100" s="40"/>
      <c r="F100" s="40"/>
      <c r="G100" s="40"/>
      <c r="H100" s="159"/>
      <c r="I100" s="155"/>
      <c r="P100" s="331"/>
      <c r="Q100" s="331"/>
      <c r="R100" s="331"/>
      <c r="S100" s="331"/>
      <c r="T100" s="331"/>
      <c r="U100" s="331"/>
      <c r="V100" s="392" t="s">
        <v>239</v>
      </c>
      <c r="W100" s="380"/>
      <c r="X100" s="367">
        <f>I99</f>
        <v>649.80683322759785</v>
      </c>
      <c r="AA100" s="331"/>
      <c r="AB100" s="331"/>
      <c r="AC100" s="331"/>
      <c r="AD100" s="331"/>
      <c r="AE100" s="331"/>
      <c r="AF100" s="331"/>
      <c r="AG100" s="331"/>
      <c r="AH100" s="206"/>
    </row>
    <row r="101" spans="1:35" ht="12" thickBot="1" x14ac:dyDescent="0.25">
      <c r="A101" s="99">
        <v>101</v>
      </c>
      <c r="B101" s="380"/>
      <c r="C101" s="220"/>
      <c r="D101" s="213"/>
      <c r="E101" s="40"/>
      <c r="F101" s="40"/>
      <c r="G101" s="40"/>
      <c r="H101" s="159"/>
      <c r="I101" s="155"/>
      <c r="P101" s="331"/>
      <c r="Q101" s="331"/>
      <c r="R101" s="331"/>
      <c r="S101" s="331"/>
      <c r="T101" s="331"/>
      <c r="U101" s="331"/>
      <c r="V101" s="392"/>
      <c r="W101" s="380"/>
      <c r="X101" s="367"/>
      <c r="AA101" s="331"/>
      <c r="AB101" s="331"/>
      <c r="AC101" s="331"/>
      <c r="AD101" s="331"/>
      <c r="AE101" s="331"/>
      <c r="AF101" s="331"/>
      <c r="AG101" s="331"/>
      <c r="AH101" s="206"/>
    </row>
    <row r="102" spans="1:35" ht="12.75" thickTop="1" thickBot="1" x14ac:dyDescent="0.25">
      <c r="A102" s="99">
        <v>102</v>
      </c>
      <c r="B102" s="120" t="s">
        <v>64</v>
      </c>
      <c r="C102" s="222">
        <f>SUM(C98:C101)</f>
        <v>567445.17699952389</v>
      </c>
      <c r="D102" s="215"/>
      <c r="E102" s="207"/>
      <c r="F102" s="207"/>
      <c r="G102" s="207"/>
      <c r="H102" s="208"/>
      <c r="I102" s="208"/>
      <c r="P102" s="331"/>
      <c r="Q102" s="331"/>
      <c r="R102" s="331"/>
      <c r="S102" s="331"/>
      <c r="T102" s="331"/>
      <c r="U102" s="331"/>
      <c r="V102" s="392"/>
      <c r="W102" s="381"/>
      <c r="X102" s="368"/>
      <c r="AA102" s="331"/>
      <c r="AB102" s="331"/>
      <c r="AC102" s="331"/>
      <c r="AD102" s="331"/>
      <c r="AE102" s="331"/>
      <c r="AF102" s="331"/>
      <c r="AG102" s="331"/>
      <c r="AH102" s="206"/>
    </row>
    <row r="103" spans="1:35" ht="12" thickBot="1" x14ac:dyDescent="0.25">
      <c r="A103" s="99">
        <v>103</v>
      </c>
      <c r="B103" s="269" t="s">
        <v>420</v>
      </c>
      <c r="C103" s="223"/>
      <c r="D103" s="204">
        <f>SUMPRODUCT(D98:D101,$C98:$C101)/$C102</f>
        <v>3299.949763393131</v>
      </c>
      <c r="E103" s="205">
        <f>SUMPRODUCT(E98:E101,$C98:$C101)/$C102</f>
        <v>0</v>
      </c>
      <c r="F103" s="205">
        <f>SUMPRODUCT(F98:F101,$C98:$C101)/$C102</f>
        <v>0</v>
      </c>
      <c r="G103" s="347">
        <f>SUMPRODUCT(G98:G101,$C98:$C101)/$C102</f>
        <v>128.76391972581663</v>
      </c>
      <c r="H103" s="205">
        <f>SUMPRODUCT(H98:H101,$C98:$C101)/$C102</f>
        <v>3428.7136831189478</v>
      </c>
      <c r="I103" s="205"/>
      <c r="J103" s="122"/>
      <c r="K103" s="123"/>
      <c r="L103" s="123"/>
      <c r="M103" s="123"/>
      <c r="N103" s="123"/>
      <c r="O103" s="124"/>
      <c r="P103" s="124"/>
      <c r="Q103" s="124"/>
      <c r="R103" s="123"/>
      <c r="S103" s="123"/>
      <c r="T103" s="123"/>
      <c r="U103" s="123"/>
      <c r="V103" s="320" t="s">
        <v>238</v>
      </c>
      <c r="W103" s="336" t="s">
        <v>24</v>
      </c>
      <c r="X103" s="205">
        <f>G103</f>
        <v>128.76391972581663</v>
      </c>
      <c r="Y103" s="124"/>
      <c r="Z103" s="124"/>
      <c r="AA103" s="123"/>
      <c r="AB103" s="123"/>
      <c r="AC103" s="123"/>
      <c r="AD103" s="123"/>
      <c r="AE103" s="123"/>
      <c r="AF103" s="123"/>
      <c r="AG103" s="331"/>
      <c r="AH103" s="206"/>
    </row>
    <row r="104" spans="1:35" ht="13.5" thickBot="1" x14ac:dyDescent="0.25">
      <c r="A104" s="99">
        <v>104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481" t="s">
        <v>359</v>
      </c>
      <c r="Q104" s="479"/>
      <c r="R104" s="426"/>
      <c r="S104" s="479"/>
      <c r="T104" s="103"/>
      <c r="U104" s="363"/>
      <c r="V104" s="482" t="str">
        <f>P104</f>
        <v>Projected Year 5</v>
      </c>
      <c r="W104" s="331"/>
      <c r="X104" s="355" t="s">
        <v>258</v>
      </c>
      <c r="Y104" s="345"/>
      <c r="Z104" s="346"/>
      <c r="AA104" s="355" t="s">
        <v>258</v>
      </c>
      <c r="AB104" s="345"/>
      <c r="AC104" s="346"/>
      <c r="AD104" s="355" t="s">
        <v>258</v>
      </c>
      <c r="AE104" s="345"/>
      <c r="AF104" s="346"/>
      <c r="AG104" s="355" t="s">
        <v>258</v>
      </c>
      <c r="AH104" s="345"/>
      <c r="AI104" s="346"/>
    </row>
    <row r="105" spans="1:35" x14ac:dyDescent="0.2">
      <c r="A105" s="99">
        <v>105</v>
      </c>
      <c r="B105" s="147"/>
      <c r="C105" s="307" t="s">
        <v>416</v>
      </c>
      <c r="D105" s="105"/>
      <c r="E105" s="106"/>
      <c r="F105" s="307" t="s">
        <v>417</v>
      </c>
      <c r="G105" s="105"/>
      <c r="H105" s="106"/>
      <c r="I105" s="307" t="s">
        <v>418</v>
      </c>
      <c r="J105" s="105"/>
      <c r="K105" s="106"/>
      <c r="L105" s="307" t="s">
        <v>419</v>
      </c>
      <c r="M105" s="105"/>
      <c r="N105" s="106"/>
      <c r="O105" s="360"/>
      <c r="P105" s="325"/>
      <c r="Q105" s="325"/>
      <c r="R105" s="321"/>
      <c r="S105" s="321"/>
      <c r="T105" s="321"/>
      <c r="U105" s="321"/>
      <c r="V105" s="325"/>
      <c r="W105" s="325"/>
      <c r="X105" s="307" t="s">
        <v>431</v>
      </c>
      <c r="Y105" s="105"/>
      <c r="Z105" s="106"/>
      <c r="AA105" s="307" t="s">
        <v>432</v>
      </c>
      <c r="AB105" s="105"/>
      <c r="AC105" s="106"/>
      <c r="AD105" s="307" t="s">
        <v>433</v>
      </c>
      <c r="AE105" s="105"/>
      <c r="AF105" s="106"/>
      <c r="AG105" s="307" t="s">
        <v>434</v>
      </c>
      <c r="AH105" s="105"/>
      <c r="AI105" s="106"/>
    </row>
    <row r="106" spans="1:35" ht="22.5" x14ac:dyDescent="0.2">
      <c r="A106" s="99">
        <v>106</v>
      </c>
      <c r="B106" s="148" t="s">
        <v>140</v>
      </c>
      <c r="C106" s="201" t="s">
        <v>106</v>
      </c>
      <c r="D106" s="112" t="s">
        <v>237</v>
      </c>
      <c r="E106" s="306" t="s">
        <v>236</v>
      </c>
      <c r="F106" s="107" t="s">
        <v>106</v>
      </c>
      <c r="G106" s="112" t="s">
        <v>237</v>
      </c>
      <c r="H106" s="306" t="s">
        <v>236</v>
      </c>
      <c r="I106" s="107" t="s">
        <v>106</v>
      </c>
      <c r="J106" s="112" t="s">
        <v>237</v>
      </c>
      <c r="K106" s="306" t="s">
        <v>236</v>
      </c>
      <c r="L106" s="107" t="s">
        <v>106</v>
      </c>
      <c r="M106" s="112" t="s">
        <v>237</v>
      </c>
      <c r="N106" s="306" t="s">
        <v>236</v>
      </c>
      <c r="O106" s="338"/>
      <c r="P106" s="326"/>
      <c r="Q106" s="326"/>
      <c r="R106" s="322"/>
      <c r="S106" s="322"/>
      <c r="T106" s="323"/>
      <c r="U106" s="324"/>
      <c r="V106" s="326"/>
      <c r="W106" s="326"/>
      <c r="X106" s="201" t="s">
        <v>106</v>
      </c>
      <c r="Y106" s="110" t="s">
        <v>249</v>
      </c>
      <c r="Z106" s="306" t="s">
        <v>249</v>
      </c>
      <c r="AA106" s="201" t="s">
        <v>106</v>
      </c>
      <c r="AB106" s="110" t="s">
        <v>249</v>
      </c>
      <c r="AC106" s="306" t="s">
        <v>249</v>
      </c>
      <c r="AD106" s="201" t="s">
        <v>106</v>
      </c>
      <c r="AE106" s="110" t="s">
        <v>249</v>
      </c>
      <c r="AF106" s="306" t="s">
        <v>249</v>
      </c>
      <c r="AG106" s="201" t="s">
        <v>106</v>
      </c>
      <c r="AH106" s="110" t="s">
        <v>249</v>
      </c>
      <c r="AI106" s="306" t="s">
        <v>249</v>
      </c>
    </row>
    <row r="107" spans="1:35" ht="22.5" x14ac:dyDescent="0.2">
      <c r="A107" s="99">
        <v>107</v>
      </c>
      <c r="B107" s="148" t="s">
        <v>143</v>
      </c>
      <c r="C107" s="201" t="s">
        <v>144</v>
      </c>
      <c r="D107" s="112" t="s">
        <v>53</v>
      </c>
      <c r="E107" s="111" t="s">
        <v>48</v>
      </c>
      <c r="F107" s="107" t="s">
        <v>144</v>
      </c>
      <c r="G107" s="112" t="s">
        <v>53</v>
      </c>
      <c r="H107" s="111" t="s">
        <v>48</v>
      </c>
      <c r="I107" s="107" t="s">
        <v>144</v>
      </c>
      <c r="J107" s="112" t="s">
        <v>53</v>
      </c>
      <c r="K107" s="111" t="s">
        <v>48</v>
      </c>
      <c r="L107" s="107" t="s">
        <v>144</v>
      </c>
      <c r="M107" s="112" t="s">
        <v>53</v>
      </c>
      <c r="N107" s="111" t="s">
        <v>48</v>
      </c>
      <c r="O107" s="338" t="s">
        <v>462</v>
      </c>
      <c r="P107" s="328" t="s">
        <v>240</v>
      </c>
      <c r="Q107" s="328" t="s">
        <v>14</v>
      </c>
      <c r="R107" s="329" t="s">
        <v>416</v>
      </c>
      <c r="S107" s="329" t="s">
        <v>417</v>
      </c>
      <c r="T107" s="329" t="s">
        <v>418</v>
      </c>
      <c r="U107" s="329" t="s">
        <v>419</v>
      </c>
      <c r="V107" s="328" t="s">
        <v>240</v>
      </c>
      <c r="W107" s="328" t="s">
        <v>14</v>
      </c>
      <c r="X107" s="201" t="s">
        <v>244</v>
      </c>
      <c r="Y107" s="112" t="s">
        <v>247</v>
      </c>
      <c r="Z107" s="111" t="s">
        <v>248</v>
      </c>
      <c r="AA107" s="201" t="s">
        <v>244</v>
      </c>
      <c r="AB107" s="112" t="s">
        <v>247</v>
      </c>
      <c r="AC107" s="111" t="s">
        <v>248</v>
      </c>
      <c r="AD107" s="201" t="s">
        <v>244</v>
      </c>
      <c r="AE107" s="112" t="s">
        <v>247</v>
      </c>
      <c r="AF107" s="111" t="s">
        <v>248</v>
      </c>
      <c r="AG107" s="201" t="s">
        <v>244</v>
      </c>
      <c r="AH107" s="112" t="s">
        <v>247</v>
      </c>
      <c r="AI107" s="111" t="s">
        <v>248</v>
      </c>
    </row>
    <row r="108" spans="1:35" ht="23.25" thickBot="1" x14ac:dyDescent="0.25">
      <c r="A108" s="99">
        <v>108</v>
      </c>
      <c r="B108" s="149" t="s">
        <v>40</v>
      </c>
      <c r="C108" s="113"/>
      <c r="D108" s="308" t="s">
        <v>145</v>
      </c>
      <c r="E108" s="115" t="s">
        <v>52</v>
      </c>
      <c r="F108" s="113"/>
      <c r="G108" s="308" t="s">
        <v>145</v>
      </c>
      <c r="H108" s="115" t="s">
        <v>52</v>
      </c>
      <c r="I108" s="113"/>
      <c r="J108" s="308" t="s">
        <v>145</v>
      </c>
      <c r="K108" s="115" t="s">
        <v>52</v>
      </c>
      <c r="L108" s="113"/>
      <c r="M108" s="308" t="s">
        <v>145</v>
      </c>
      <c r="N108" s="115" t="s">
        <v>52</v>
      </c>
      <c r="O108" s="339" t="s">
        <v>57</v>
      </c>
      <c r="P108" s="327"/>
      <c r="Q108" s="327"/>
      <c r="R108" s="424"/>
      <c r="S108" s="424"/>
      <c r="T108" s="425"/>
      <c r="U108" s="425"/>
      <c r="V108" s="327"/>
      <c r="W108" s="327"/>
      <c r="X108" s="488">
        <f>R108</f>
        <v>0</v>
      </c>
      <c r="Y108" s="308" t="s">
        <v>245</v>
      </c>
      <c r="Z108" s="115"/>
      <c r="AA108" s="488">
        <f>S108</f>
        <v>0</v>
      </c>
      <c r="AB108" s="308" t="s">
        <v>245</v>
      </c>
      <c r="AC108" s="115"/>
      <c r="AD108" s="488">
        <f>T108</f>
        <v>0</v>
      </c>
      <c r="AE108" s="308" t="s">
        <v>245</v>
      </c>
      <c r="AF108" s="115"/>
      <c r="AG108" s="488">
        <f>U108</f>
        <v>0</v>
      </c>
      <c r="AH108" s="308" t="s">
        <v>245</v>
      </c>
      <c r="AI108" s="115"/>
    </row>
    <row r="109" spans="1:35" ht="12" thickBot="1" x14ac:dyDescent="0.25">
      <c r="A109" s="99">
        <v>109</v>
      </c>
      <c r="B109" s="380" t="str">
        <f>'D1. Member Months'!B$10</f>
        <v>Nursing Home Level of Care</v>
      </c>
      <c r="C109" s="209">
        <f>'D1. Member Months'!M32</f>
        <v>136368.27168890531</v>
      </c>
      <c r="D109" s="569">
        <f>C109*($D98+$E98+$F98)</f>
        <v>461641177.87110794</v>
      </c>
      <c r="E109" s="570">
        <f>C109*$G98</f>
        <v>18009563.605782792</v>
      </c>
      <c r="F109" s="209">
        <f>'D1. Member Months'!N32</f>
        <v>137072.86045913573</v>
      </c>
      <c r="G109" s="569">
        <f>F109*($D98+$E98+$F98)</f>
        <v>464026389.51730341</v>
      </c>
      <c r="H109" s="570">
        <f>F109*$G98</f>
        <v>18102615.575395878</v>
      </c>
      <c r="I109" s="209">
        <f>'D1. Member Months'!O32</f>
        <v>137790.67332190007</v>
      </c>
      <c r="J109" s="569">
        <f>I109*($D98+$E98+$F98)</f>
        <v>466456368.06989163</v>
      </c>
      <c r="K109" s="570">
        <f>I109*$G98</f>
        <v>18197413.993304223</v>
      </c>
      <c r="L109" s="209">
        <f>'D1. Member Months'!P32</f>
        <v>138517.82287487845</v>
      </c>
      <c r="M109" s="569">
        <f>L109*($D98+$E98+$F98)</f>
        <v>468917953.68631107</v>
      </c>
      <c r="N109" s="570">
        <f>L109*$G98</f>
        <v>18293445.467217419</v>
      </c>
      <c r="O109" s="575">
        <f>D109+E109+G109+H109+J109+K109+M109+N109</f>
        <v>1933644927.7863142</v>
      </c>
      <c r="P109" s="392" t="s">
        <v>239</v>
      </c>
      <c r="Q109" s="380" t="str">
        <f>'D1. Member Months'!B$10</f>
        <v>Nursing Home Level of Care</v>
      </c>
      <c r="R109" s="578">
        <f>D109</f>
        <v>461641177.87110794</v>
      </c>
      <c r="S109" s="578">
        <f>G109</f>
        <v>464026389.51730341</v>
      </c>
      <c r="T109" s="578">
        <f>J109</f>
        <v>466456368.06989163</v>
      </c>
      <c r="U109" s="578">
        <f>M109</f>
        <v>468917953.68631107</v>
      </c>
      <c r="V109" s="392" t="s">
        <v>239</v>
      </c>
      <c r="W109" s="380"/>
      <c r="X109" s="340"/>
      <c r="Y109" s="341"/>
      <c r="Z109" s="342"/>
      <c r="AA109" s="340"/>
      <c r="AB109" s="341"/>
      <c r="AC109" s="342"/>
      <c r="AD109" s="340"/>
      <c r="AE109" s="341"/>
      <c r="AF109" s="342"/>
      <c r="AG109" s="340"/>
      <c r="AH109" s="341"/>
      <c r="AI109" s="342"/>
    </row>
    <row r="110" spans="1:35" ht="12" thickBot="1" x14ac:dyDescent="0.25">
      <c r="A110" s="99">
        <v>110</v>
      </c>
      <c r="B110" s="380" t="str">
        <f>'D1. Member Months'!B$11</f>
        <v>Non-Nursing Home Level of Care</v>
      </c>
      <c r="C110" s="209">
        <f>'D1. Member Months'!M33</f>
        <v>4382.3751974159077</v>
      </c>
      <c r="D110" s="569">
        <f>C110*($D99+$E99+$F99)</f>
        <v>2847697.3490479998</v>
      </c>
      <c r="E110" s="570">
        <f>C110*$G99</f>
        <v>114769.49271566729</v>
      </c>
      <c r="F110" s="209">
        <f>'D1. Member Months'!N33</f>
        <v>4409.7914081309391</v>
      </c>
      <c r="G110" s="569">
        <f>F110*($D99+$E99+$F99)</f>
        <v>2865512.5901118349</v>
      </c>
      <c r="H110" s="570">
        <f>F110*$G99</f>
        <v>115487.49253407749</v>
      </c>
      <c r="I110" s="209">
        <f>'D1. Member Months'!O33</f>
        <v>4437.6257362068172</v>
      </c>
      <c r="J110" s="569">
        <f>I110*($D99+$E99+$F99)</f>
        <v>2883599.5266938396</v>
      </c>
      <c r="K110" s="570">
        <f>I110*$G99</f>
        <v>116216.44237735738</v>
      </c>
      <c r="L110" s="209">
        <f>'D1. Member Months'!P33</f>
        <v>4465.7563129506889</v>
      </c>
      <c r="M110" s="569">
        <f>L110*($D99+$E99+$F99)</f>
        <v>2901878.9676846405</v>
      </c>
      <c r="N110" s="570">
        <f>L110*$G99</f>
        <v>116953.15064108546</v>
      </c>
      <c r="O110" s="575">
        <f>D110+E110+G110+H110+J110+K110+M110+N110</f>
        <v>11962115.011806501</v>
      </c>
      <c r="P110" s="392" t="s">
        <v>239</v>
      </c>
      <c r="Q110" s="380" t="str">
        <f>'D1. Member Months'!B$11</f>
        <v>Non-Nursing Home Level of Care</v>
      </c>
      <c r="R110" s="578">
        <f>D110</f>
        <v>2847697.3490479998</v>
      </c>
      <c r="S110" s="578">
        <f>G110</f>
        <v>2865512.5901118349</v>
      </c>
      <c r="T110" s="578">
        <f>J110</f>
        <v>2883599.5266938396</v>
      </c>
      <c r="U110" s="578">
        <f>M110</f>
        <v>2901878.9676846405</v>
      </c>
      <c r="V110" s="392" t="s">
        <v>239</v>
      </c>
      <c r="W110" s="380"/>
      <c r="X110" s="340"/>
      <c r="Y110" s="341"/>
      <c r="Z110" s="342"/>
      <c r="AA110" s="340"/>
      <c r="AB110" s="341"/>
      <c r="AC110" s="342"/>
      <c r="AD110" s="340"/>
      <c r="AE110" s="341"/>
      <c r="AF110" s="342"/>
      <c r="AG110" s="340"/>
      <c r="AH110" s="341"/>
      <c r="AI110" s="342"/>
    </row>
    <row r="111" spans="1:35" ht="12" thickBot="1" x14ac:dyDescent="0.25">
      <c r="A111" s="99">
        <v>111</v>
      </c>
      <c r="B111" s="380"/>
      <c r="C111" s="209"/>
      <c r="D111" s="287"/>
      <c r="E111" s="210"/>
      <c r="F111" s="209"/>
      <c r="G111" s="287"/>
      <c r="H111" s="210"/>
      <c r="I111" s="209"/>
      <c r="J111" s="287"/>
      <c r="K111" s="210"/>
      <c r="L111" s="209"/>
      <c r="M111" s="287"/>
      <c r="N111" s="210"/>
      <c r="O111" s="361"/>
      <c r="P111" s="392"/>
      <c r="Q111" s="380"/>
      <c r="R111" s="578"/>
      <c r="S111" s="578"/>
      <c r="T111" s="578"/>
      <c r="U111" s="578"/>
      <c r="V111" s="392"/>
      <c r="W111" s="380"/>
      <c r="X111" s="340"/>
      <c r="Y111" s="341"/>
      <c r="Z111" s="342"/>
      <c r="AA111" s="340"/>
      <c r="AB111" s="341"/>
      <c r="AC111" s="342"/>
      <c r="AD111" s="340"/>
      <c r="AE111" s="341"/>
      <c r="AF111" s="342"/>
      <c r="AG111" s="340"/>
      <c r="AH111" s="341"/>
      <c r="AI111" s="342"/>
    </row>
    <row r="112" spans="1:35" ht="12" thickBot="1" x14ac:dyDescent="0.25">
      <c r="A112" s="99">
        <v>112</v>
      </c>
      <c r="B112" s="380"/>
      <c r="C112" s="209"/>
      <c r="D112" s="288"/>
      <c r="E112" s="212"/>
      <c r="F112" s="209"/>
      <c r="G112" s="288"/>
      <c r="H112" s="212"/>
      <c r="I112" s="209"/>
      <c r="J112" s="288"/>
      <c r="K112" s="212"/>
      <c r="L112" s="209"/>
      <c r="M112" s="288"/>
      <c r="N112" s="212"/>
      <c r="O112" s="362"/>
      <c r="P112" s="392"/>
      <c r="Q112" s="380"/>
      <c r="R112" s="578"/>
      <c r="S112" s="578"/>
      <c r="T112" s="578"/>
      <c r="U112" s="578"/>
      <c r="V112" s="392"/>
      <c r="W112" s="381"/>
      <c r="X112" s="343"/>
      <c r="Y112" s="344"/>
      <c r="Z112" s="356"/>
      <c r="AA112" s="343"/>
      <c r="AB112" s="344"/>
      <c r="AC112" s="342"/>
      <c r="AD112" s="343"/>
      <c r="AE112" s="344"/>
      <c r="AF112" s="342"/>
      <c r="AG112" s="343"/>
      <c r="AH112" s="344"/>
      <c r="AI112" s="342"/>
    </row>
    <row r="113" spans="1:35" ht="12.75" thickTop="1" thickBot="1" x14ac:dyDescent="0.25">
      <c r="A113" s="99">
        <v>113</v>
      </c>
      <c r="B113" s="121" t="s">
        <v>64</v>
      </c>
      <c r="C113" s="305">
        <f t="shared" ref="C113:O113" si="4">SUM(C109:C112)</f>
        <v>140750.64688632122</v>
      </c>
      <c r="D113" s="573">
        <f t="shared" si="4"/>
        <v>464488875.22015595</v>
      </c>
      <c r="E113" s="574">
        <f t="shared" si="4"/>
        <v>18124333.09849846</v>
      </c>
      <c r="F113" s="305">
        <f t="shared" si="4"/>
        <v>141482.65186726666</v>
      </c>
      <c r="G113" s="573">
        <f t="shared" si="4"/>
        <v>466891902.10741526</v>
      </c>
      <c r="H113" s="574">
        <f t="shared" si="4"/>
        <v>18218103.067929957</v>
      </c>
      <c r="I113" s="305">
        <f t="shared" si="4"/>
        <v>142228.2990581069</v>
      </c>
      <c r="J113" s="573">
        <f t="shared" si="4"/>
        <v>469339967.59658545</v>
      </c>
      <c r="K113" s="574">
        <f t="shared" si="4"/>
        <v>18313630.435681581</v>
      </c>
      <c r="L113" s="305">
        <f t="shared" si="4"/>
        <v>142983.57918782913</v>
      </c>
      <c r="M113" s="573">
        <f t="shared" si="4"/>
        <v>471819832.65399569</v>
      </c>
      <c r="N113" s="574">
        <f t="shared" si="4"/>
        <v>18410398.617858503</v>
      </c>
      <c r="O113" s="577">
        <f t="shared" si="4"/>
        <v>1945607042.7981207</v>
      </c>
      <c r="P113" s="320" t="s">
        <v>238</v>
      </c>
      <c r="Q113" s="320"/>
      <c r="R113" s="578">
        <f>E113</f>
        <v>18124333.09849846</v>
      </c>
      <c r="S113" s="578">
        <f>H113</f>
        <v>18218103.067929957</v>
      </c>
      <c r="T113" s="578">
        <f>K113</f>
        <v>18313630.435681581</v>
      </c>
      <c r="U113" s="578">
        <f>N113</f>
        <v>18410398.617858503</v>
      </c>
      <c r="V113" s="320" t="s">
        <v>238</v>
      </c>
      <c r="W113" s="336" t="s">
        <v>24</v>
      </c>
      <c r="X113" s="357"/>
      <c r="Y113" s="358"/>
      <c r="Z113" s="359"/>
      <c r="AA113" s="357"/>
      <c r="AB113" s="358"/>
      <c r="AC113" s="359"/>
      <c r="AD113" s="357"/>
      <c r="AE113" s="358"/>
      <c r="AF113" s="359"/>
      <c r="AG113" s="357"/>
      <c r="AH113" s="358"/>
      <c r="AI113" s="359"/>
    </row>
  </sheetData>
  <phoneticPr fontId="0" type="noConversion"/>
  <pageMargins left="0.25" right="0.25" top="0.28999999999999998" bottom="0.3" header="0.17" footer="0.17"/>
  <pageSetup paperSize="5" scale="55" fitToWidth="2" fitToHeight="2" orientation="landscape" r:id="rId1"/>
  <headerFooter alignWithMargins="0">
    <oddHeader xml:space="preserve">&amp;L&amp;"Arial,Bold"&amp;12State of Wisconsin&amp;C&amp;"Arial,Bold"&amp;12Appendix &amp;A&amp;R&amp;"Arial,Bold"&amp;12 </oddHeader>
    <oddFooter>&amp;L&amp;8'&amp;A'&amp;C&amp;8&amp;P of &amp;N&amp;R&amp;8&amp;F</oddFooter>
  </headerFooter>
  <rowBreaks count="1" manualBreakCount="1">
    <brk id="69" max="34" man="1"/>
  </rowBreaks>
  <colBreaks count="2" manualBreakCount="2">
    <brk id="15" max="112" man="1"/>
    <brk id="21" max="11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18"/>
  <sheetViews>
    <sheetView showGridLines="0" zoomScaleNormal="100" zoomScaleSheetLayoutView="100" zoomScalePageLayoutView="60" workbookViewId="0"/>
  </sheetViews>
  <sheetFormatPr defaultRowHeight="12.75" x14ac:dyDescent="0.2"/>
  <cols>
    <col min="1" max="1" width="6.5703125" style="99" customWidth="1"/>
    <col min="2" max="2" width="51" style="103" customWidth="1"/>
    <col min="3" max="3" width="15.7109375" style="103" customWidth="1"/>
    <col min="4" max="4" width="17" style="103" customWidth="1"/>
    <col min="5" max="5" width="15.7109375" style="103" customWidth="1"/>
    <col min="6" max="6" width="16.85546875" style="103" customWidth="1"/>
    <col min="7" max="8" width="15.7109375" style="103" customWidth="1"/>
    <col min="9" max="9" width="15.42578125" style="103" customWidth="1"/>
    <col min="10" max="14" width="15.7109375" style="103" customWidth="1"/>
    <col min="15" max="16384" width="9.140625" style="100"/>
  </cols>
  <sheetData>
    <row r="1" spans="1:14" s="99" customFormat="1" ht="33.75" x14ac:dyDescent="0.2">
      <c r="A1" s="98" t="s">
        <v>0</v>
      </c>
      <c r="B1" s="99" t="s">
        <v>1</v>
      </c>
      <c r="C1" s="99" t="s">
        <v>2</v>
      </c>
      <c r="D1" s="99" t="s">
        <v>3</v>
      </c>
      <c r="E1" s="99" t="s">
        <v>4</v>
      </c>
      <c r="F1" s="99" t="s">
        <v>5</v>
      </c>
      <c r="G1" s="99" t="s">
        <v>6</v>
      </c>
      <c r="H1" s="99" t="s">
        <v>7</v>
      </c>
      <c r="I1" s="99" t="s">
        <v>8</v>
      </c>
      <c r="J1" s="99" t="s">
        <v>9</v>
      </c>
      <c r="K1" s="99" t="s">
        <v>10</v>
      </c>
      <c r="L1" s="99" t="s">
        <v>11</v>
      </c>
      <c r="M1" s="99" t="s">
        <v>12</v>
      </c>
      <c r="N1" s="99" t="s">
        <v>13</v>
      </c>
    </row>
    <row r="2" spans="1:14" x14ac:dyDescent="0.2">
      <c r="A2" s="99">
        <v>2</v>
      </c>
      <c r="B2" s="224" t="s">
        <v>206</v>
      </c>
      <c r="C2" s="102"/>
      <c r="D2" s="102"/>
      <c r="E2" s="102"/>
      <c r="F2" s="102"/>
      <c r="G2" s="102"/>
      <c r="H2" s="102"/>
      <c r="I2" s="102"/>
      <c r="J2" s="202"/>
      <c r="K2" s="102"/>
      <c r="L2" s="102"/>
      <c r="M2" s="102"/>
      <c r="N2" s="102"/>
    </row>
    <row r="3" spans="1:14" customFormat="1" x14ac:dyDescent="0.2">
      <c r="A3" s="99">
        <v>3</v>
      </c>
      <c r="D3" t="s">
        <v>339</v>
      </c>
      <c r="E3" t="str">
        <f>'D1. Member Months'!G4</f>
        <v>Wisconsin</v>
      </c>
    </row>
    <row r="4" spans="1:14" x14ac:dyDescent="0.2">
      <c r="A4" s="99">
        <v>4</v>
      </c>
      <c r="B4" s="224"/>
      <c r="C4" s="102"/>
      <c r="D4" s="102"/>
      <c r="E4" s="102"/>
      <c r="F4" s="102"/>
      <c r="G4" s="102"/>
      <c r="H4" s="102"/>
      <c r="I4" s="102"/>
      <c r="J4" s="202"/>
      <c r="K4" s="102"/>
      <c r="L4" s="102"/>
      <c r="M4" s="102"/>
      <c r="N4" s="102"/>
    </row>
    <row r="5" spans="1:14" x14ac:dyDescent="0.2">
      <c r="A5" s="99">
        <v>5</v>
      </c>
      <c r="B5" s="224"/>
      <c r="C5" s="102"/>
      <c r="D5" s="102"/>
      <c r="E5" s="102"/>
      <c r="F5" s="102"/>
      <c r="G5" s="102"/>
      <c r="H5" s="102"/>
      <c r="I5" s="102"/>
      <c r="J5" s="587" t="s">
        <v>224</v>
      </c>
      <c r="K5" s="588"/>
      <c r="L5" s="588"/>
      <c r="M5" s="588"/>
      <c r="N5" s="589"/>
    </row>
    <row r="6" spans="1:14" x14ac:dyDescent="0.2">
      <c r="A6" s="99">
        <v>6</v>
      </c>
      <c r="B6" s="224"/>
      <c r="C6" s="102"/>
      <c r="D6" s="102"/>
      <c r="E6" s="102"/>
      <c r="F6" s="102"/>
      <c r="G6" s="102"/>
      <c r="H6" s="102"/>
      <c r="I6" s="102"/>
      <c r="J6" s="590" t="s">
        <v>223</v>
      </c>
      <c r="K6" s="591"/>
      <c r="L6" s="591"/>
      <c r="M6" s="591"/>
      <c r="N6" s="592"/>
    </row>
    <row r="7" spans="1:14" s="103" customFormat="1" ht="13.5" customHeight="1" thickBot="1" x14ac:dyDescent="0.25">
      <c r="A7" s="99">
        <v>7</v>
      </c>
      <c r="B7" s="125" t="s">
        <v>217</v>
      </c>
      <c r="C7" s="125"/>
      <c r="D7" s="125"/>
      <c r="E7" s="125"/>
      <c r="F7" s="125"/>
      <c r="G7" s="125"/>
      <c r="H7" s="125"/>
      <c r="I7" s="102" t="s">
        <v>129</v>
      </c>
      <c r="J7" s="125"/>
      <c r="K7" s="102"/>
      <c r="L7" s="101"/>
      <c r="M7" s="101"/>
      <c r="N7" s="101"/>
    </row>
    <row r="8" spans="1:14" s="103" customFormat="1" ht="13.5" customHeight="1" x14ac:dyDescent="0.2">
      <c r="A8" s="99">
        <v>8</v>
      </c>
      <c r="B8" s="104"/>
      <c r="C8" s="126"/>
      <c r="D8" s="127" t="s">
        <v>212</v>
      </c>
      <c r="E8" s="105"/>
      <c r="F8" s="105"/>
      <c r="G8" s="105"/>
      <c r="H8" s="286"/>
      <c r="J8" s="127" t="s">
        <v>225</v>
      </c>
      <c r="K8" s="105"/>
      <c r="L8" s="105"/>
      <c r="M8" s="105"/>
      <c r="N8" s="286"/>
    </row>
    <row r="9" spans="1:14" s="232" customFormat="1" ht="13.5" customHeight="1" x14ac:dyDescent="0.2">
      <c r="A9" s="99">
        <v>9</v>
      </c>
      <c r="B9" s="107" t="s">
        <v>140</v>
      </c>
      <c r="C9" s="111" t="s">
        <v>210</v>
      </c>
      <c r="D9" s="128" t="s">
        <v>211</v>
      </c>
      <c r="E9" s="108" t="s">
        <v>211</v>
      </c>
      <c r="F9" s="108" t="s">
        <v>211</v>
      </c>
      <c r="G9" s="108" t="s">
        <v>211</v>
      </c>
      <c r="H9" s="109" t="s">
        <v>211</v>
      </c>
      <c r="J9" s="128" t="s">
        <v>169</v>
      </c>
      <c r="K9" s="108" t="s">
        <v>169</v>
      </c>
      <c r="L9" s="108" t="s">
        <v>169</v>
      </c>
      <c r="M9" s="108" t="s">
        <v>169</v>
      </c>
      <c r="N9" s="109" t="s">
        <v>169</v>
      </c>
    </row>
    <row r="10" spans="1:14" s="232" customFormat="1" ht="13.5" customHeight="1" x14ac:dyDescent="0.2">
      <c r="A10" s="99">
        <v>10</v>
      </c>
      <c r="B10" s="107" t="s">
        <v>143</v>
      </c>
      <c r="C10" s="111" t="s">
        <v>41</v>
      </c>
      <c r="D10" s="129" t="s">
        <v>44</v>
      </c>
      <c r="E10" s="110" t="s">
        <v>47</v>
      </c>
      <c r="F10" s="110" t="s">
        <v>27</v>
      </c>
      <c r="G10" s="110" t="s">
        <v>48</v>
      </c>
      <c r="H10" s="111" t="s">
        <v>49</v>
      </c>
      <c r="J10" s="129" t="s">
        <v>44</v>
      </c>
      <c r="K10" s="110" t="s">
        <v>47</v>
      </c>
      <c r="L10" s="110" t="s">
        <v>27</v>
      </c>
      <c r="M10" s="110" t="s">
        <v>48</v>
      </c>
      <c r="N10" s="111" t="s">
        <v>49</v>
      </c>
    </row>
    <row r="11" spans="1:14" s="103" customFormat="1" ht="13.5" customHeight="1" x14ac:dyDescent="0.2">
      <c r="A11" s="99">
        <v>11</v>
      </c>
      <c r="B11" s="113" t="s">
        <v>40</v>
      </c>
      <c r="C11" s="115" t="s">
        <v>50</v>
      </c>
      <c r="D11" s="130" t="s">
        <v>53</v>
      </c>
      <c r="E11" s="114" t="s">
        <v>52</v>
      </c>
      <c r="F11" s="114" t="s">
        <v>53</v>
      </c>
      <c r="G11" s="114" t="s">
        <v>52</v>
      </c>
      <c r="H11" s="115" t="s">
        <v>57</v>
      </c>
      <c r="J11" s="130" t="s">
        <v>53</v>
      </c>
      <c r="K11" s="114" t="s">
        <v>52</v>
      </c>
      <c r="L11" s="114" t="s">
        <v>53</v>
      </c>
      <c r="M11" s="114" t="s">
        <v>52</v>
      </c>
      <c r="N11" s="115" t="s">
        <v>57</v>
      </c>
    </row>
    <row r="12" spans="1:14" s="103" customFormat="1" ht="13.5" customHeight="1" x14ac:dyDescent="0.2">
      <c r="A12" s="99">
        <v>12</v>
      </c>
      <c r="B12" s="380" t="str">
        <f>'D1. Member Months'!B$10</f>
        <v>Nursing Home Level of Care</v>
      </c>
      <c r="C12" s="131">
        <f>'D1. Member Months'!C10</f>
        <v>424367.9</v>
      </c>
      <c r="D12" s="132">
        <f>'D3. Actual Waiver Cost'!K13</f>
        <v>3012.15117642223</v>
      </c>
      <c r="E12" s="132">
        <f>'D3. Actual Waiver Cost'!L13</f>
        <v>0</v>
      </c>
      <c r="F12" s="132">
        <f>'D3. Actual Waiver Cost'!M13</f>
        <v>0</v>
      </c>
      <c r="G12" s="132">
        <f>'D3. Actual Waiver Cost'!N13</f>
        <v>107.16262233783469</v>
      </c>
      <c r="H12" s="210">
        <f>'D3. Actual Waiver Cost'!O13</f>
        <v>3119.3137987600649</v>
      </c>
      <c r="I12" s="279"/>
      <c r="J12" s="484">
        <v>3100.6687713218271</v>
      </c>
      <c r="K12" s="394">
        <v>0</v>
      </c>
      <c r="L12" s="394">
        <v>0</v>
      </c>
      <c r="M12" s="486">
        <v>113.55277166202319</v>
      </c>
      <c r="N12" s="487">
        <f>SUM(J12:M12)</f>
        <v>3214.2215429838502</v>
      </c>
    </row>
    <row r="13" spans="1:14" s="103" customFormat="1" ht="13.5" customHeight="1" x14ac:dyDescent="0.2">
      <c r="A13" s="99">
        <v>13</v>
      </c>
      <c r="B13" s="380" t="str">
        <f>'D1. Member Months'!B$11</f>
        <v>Non-Nursing Home Level of Care</v>
      </c>
      <c r="C13" s="131">
        <f>'D1. Member Months'!C11</f>
        <v>14850.89</v>
      </c>
      <c r="D13" s="132">
        <f>'D3. Actual Waiver Cost'!K14</f>
        <v>564.71815022534008</v>
      </c>
      <c r="E13" s="132">
        <f>'D3. Actual Waiver Cost'!L14</f>
        <v>0</v>
      </c>
      <c r="F13" s="132">
        <f>'D3. Actual Waiver Cost'!M14</f>
        <v>0</v>
      </c>
      <c r="G13" s="132">
        <f>'D3. Actual Waiver Cost'!N14</f>
        <v>21.856063845331828</v>
      </c>
      <c r="H13" s="210">
        <f>'D3. Actual Waiver Cost'!O14</f>
        <v>586.57421407067181</v>
      </c>
      <c r="I13" s="279"/>
      <c r="J13" s="484">
        <v>570.51444690846608</v>
      </c>
      <c r="K13" s="394">
        <v>0</v>
      </c>
      <c r="L13" s="394">
        <v>0</v>
      </c>
      <c r="M13" s="486">
        <v>27.122736903601858</v>
      </c>
      <c r="N13" s="487">
        <f>SUM(J13:M13)</f>
        <v>597.63718381206797</v>
      </c>
    </row>
    <row r="14" spans="1:14" s="103" customFormat="1" ht="13.5" customHeight="1" x14ac:dyDescent="0.2">
      <c r="A14" s="99">
        <v>14</v>
      </c>
      <c r="B14" s="380"/>
      <c r="C14" s="131"/>
      <c r="D14" s="132"/>
      <c r="E14" s="132"/>
      <c r="F14" s="132"/>
      <c r="G14" s="132"/>
      <c r="H14" s="210"/>
      <c r="I14" s="279"/>
      <c r="J14" s="484"/>
      <c r="K14" s="394"/>
      <c r="L14" s="394"/>
      <c r="M14" s="486"/>
      <c r="N14" s="487"/>
    </row>
    <row r="15" spans="1:14" s="103" customFormat="1" ht="13.5" customHeight="1" thickBot="1" x14ac:dyDescent="0.25">
      <c r="A15" s="99">
        <v>15</v>
      </c>
      <c r="B15" s="380"/>
      <c r="C15" s="302"/>
      <c r="D15" s="132"/>
      <c r="E15" s="132"/>
      <c r="F15" s="132"/>
      <c r="G15" s="132"/>
      <c r="H15" s="309"/>
      <c r="I15" s="279"/>
      <c r="J15" s="485"/>
      <c r="K15" s="395"/>
      <c r="L15" s="395"/>
      <c r="M15" s="395"/>
      <c r="N15" s="487"/>
    </row>
    <row r="16" spans="1:14" s="103" customFormat="1" ht="13.5" customHeight="1" thickTop="1" thickBot="1" x14ac:dyDescent="0.25">
      <c r="A16" s="99">
        <v>16</v>
      </c>
      <c r="B16" s="133" t="s">
        <v>64</v>
      </c>
      <c r="C16" s="278">
        <f>'D1. Member Months'!C14</f>
        <v>439218.79000000004</v>
      </c>
      <c r="D16" s="140"/>
      <c r="E16" s="140"/>
      <c r="F16" s="140"/>
      <c r="G16" s="140"/>
      <c r="H16" s="140"/>
      <c r="J16" s="140"/>
      <c r="K16" s="140"/>
      <c r="L16" s="140"/>
      <c r="M16" s="140"/>
      <c r="N16" s="140"/>
    </row>
    <row r="17" spans="1:14" s="103" customFormat="1" ht="13.5" customHeight="1" thickTop="1" thickBot="1" x14ac:dyDescent="0.25">
      <c r="A17" s="99">
        <v>17</v>
      </c>
      <c r="B17" s="133" t="s">
        <v>285</v>
      </c>
      <c r="C17" s="134"/>
      <c r="D17" s="138">
        <f>SUMPRODUCT(D12:D15,$C$12:$C$15)/$C$16</f>
        <v>2929.3984356881256</v>
      </c>
      <c r="E17" s="138">
        <f>SUMPRODUCT(E12:E15,$C$12:$C$15)/$C$16</f>
        <v>0</v>
      </c>
      <c r="F17" s="138">
        <f>SUMPRODUCT(F12:F15,$C$12:$C$15)/$C$16</f>
        <v>0</v>
      </c>
      <c r="G17" s="138">
        <f>SUMPRODUCT(G12:G15,$C$12:$C$15)/$C$16</f>
        <v>104.27823226779527</v>
      </c>
      <c r="H17" s="138">
        <f>SUMPRODUCT(H12:H15,$C$12:$C$15)/$C$16</f>
        <v>3033.6766679559209</v>
      </c>
      <c r="J17" s="138">
        <f>SUMPRODUCT(J12:J15,$C$12:$C$15)/$C$16</f>
        <v>3015.1190534810048</v>
      </c>
      <c r="K17" s="138">
        <f>SUMPRODUCT(K12:K15,$C$12:$C$15)/$C$16</f>
        <v>0</v>
      </c>
      <c r="L17" s="138">
        <f>SUMPRODUCT(L12:L15,$C$12:$C$15)/$C$16</f>
        <v>0</v>
      </c>
      <c r="M17" s="138">
        <f>SUMPRODUCT(M12:M15,$C$12:$C$15)/$C$16</f>
        <v>110.63039455039394</v>
      </c>
      <c r="N17" s="138">
        <f>SUMPRODUCT(N12:N15,$C$12:$C$15)/$C$16</f>
        <v>3125.749448031399</v>
      </c>
    </row>
    <row r="18" spans="1:14" s="103" customFormat="1" ht="13.5" customHeight="1" thickTop="1" thickBot="1" x14ac:dyDescent="0.25">
      <c r="A18" s="99">
        <v>18</v>
      </c>
      <c r="B18" s="139" t="s">
        <v>215</v>
      </c>
      <c r="C18" s="140"/>
      <c r="D18" s="140"/>
      <c r="E18" s="140"/>
      <c r="F18" s="140"/>
      <c r="G18" s="140"/>
      <c r="H18" s="141">
        <f>H17*C16</f>
        <v>1332447795.3508315</v>
      </c>
      <c r="J18" s="139" t="s">
        <v>591</v>
      </c>
      <c r="K18" s="140"/>
      <c r="L18" s="140"/>
      <c r="M18" s="140"/>
      <c r="N18" s="141">
        <f>N17*C16</f>
        <v>1372887890.4075191</v>
      </c>
    </row>
    <row r="19" spans="1:14" s="103" customFormat="1" ht="13.5" customHeight="1" thickTop="1" thickBot="1" x14ac:dyDescent="0.25">
      <c r="A19" s="99">
        <v>19</v>
      </c>
      <c r="B19" s="125"/>
      <c r="C19" s="125"/>
      <c r="D19" s="125"/>
      <c r="E19" s="125"/>
      <c r="F19" s="125"/>
      <c r="G19" s="125"/>
      <c r="H19" s="125"/>
      <c r="I19" s="102"/>
      <c r="J19" s="125"/>
      <c r="K19" s="125"/>
      <c r="L19" s="125"/>
      <c r="M19" s="125"/>
      <c r="N19" s="125"/>
    </row>
    <row r="20" spans="1:14" s="103" customFormat="1" ht="13.5" customHeight="1" x14ac:dyDescent="0.2">
      <c r="A20" s="99">
        <v>20</v>
      </c>
      <c r="B20" s="104"/>
      <c r="C20" s="126"/>
      <c r="D20" s="127" t="s">
        <v>322</v>
      </c>
      <c r="E20" s="105"/>
      <c r="F20" s="105"/>
      <c r="G20" s="105"/>
      <c r="H20" s="286"/>
      <c r="I20" s="230"/>
      <c r="J20" s="127" t="s">
        <v>590</v>
      </c>
      <c r="K20" s="105"/>
      <c r="L20" s="105"/>
      <c r="M20" s="105"/>
      <c r="N20" s="286"/>
    </row>
    <row r="21" spans="1:14" ht="13.5" customHeight="1" x14ac:dyDescent="0.2">
      <c r="A21" s="99">
        <v>21</v>
      </c>
      <c r="B21" s="107" t="s">
        <v>140</v>
      </c>
      <c r="C21" s="111" t="s">
        <v>207</v>
      </c>
      <c r="D21" s="128" t="s">
        <v>208</v>
      </c>
      <c r="E21" s="108" t="s">
        <v>208</v>
      </c>
      <c r="F21" s="108" t="s">
        <v>208</v>
      </c>
      <c r="G21" s="108" t="s">
        <v>208</v>
      </c>
      <c r="H21" s="109" t="s">
        <v>208</v>
      </c>
      <c r="I21" s="231" t="s">
        <v>151</v>
      </c>
      <c r="J21" s="128" t="s">
        <v>393</v>
      </c>
      <c r="K21" s="108" t="s">
        <v>393</v>
      </c>
      <c r="L21" s="108" t="s">
        <v>393</v>
      </c>
      <c r="M21" s="108" t="s">
        <v>393</v>
      </c>
      <c r="N21" s="109" t="s">
        <v>393</v>
      </c>
    </row>
    <row r="22" spans="1:14" s="232" customFormat="1" ht="13.5" customHeight="1" x14ac:dyDescent="0.2">
      <c r="A22" s="99">
        <v>22</v>
      </c>
      <c r="B22" s="107" t="s">
        <v>143</v>
      </c>
      <c r="C22" s="111" t="s">
        <v>41</v>
      </c>
      <c r="D22" s="129" t="s">
        <v>44</v>
      </c>
      <c r="E22" s="110" t="s">
        <v>47</v>
      </c>
      <c r="F22" s="110" t="s">
        <v>27</v>
      </c>
      <c r="G22" s="110" t="s">
        <v>48</v>
      </c>
      <c r="H22" s="111" t="s">
        <v>49</v>
      </c>
      <c r="I22" s="311" t="s">
        <v>220</v>
      </c>
      <c r="J22" s="129" t="s">
        <v>44</v>
      </c>
      <c r="K22" s="110" t="s">
        <v>47</v>
      </c>
      <c r="L22" s="110" t="s">
        <v>27</v>
      </c>
      <c r="M22" s="110" t="s">
        <v>48</v>
      </c>
      <c r="N22" s="111" t="s">
        <v>49</v>
      </c>
    </row>
    <row r="23" spans="1:14" s="232" customFormat="1" ht="13.5" customHeight="1" x14ac:dyDescent="0.2">
      <c r="A23" s="99">
        <v>23</v>
      </c>
      <c r="B23" s="113" t="s">
        <v>40</v>
      </c>
      <c r="C23" s="115" t="s">
        <v>50</v>
      </c>
      <c r="D23" s="130" t="s">
        <v>53</v>
      </c>
      <c r="E23" s="114" t="s">
        <v>52</v>
      </c>
      <c r="F23" s="114" t="s">
        <v>53</v>
      </c>
      <c r="G23" s="114" t="s">
        <v>52</v>
      </c>
      <c r="H23" s="115" t="s">
        <v>57</v>
      </c>
      <c r="I23" s="312" t="s">
        <v>152</v>
      </c>
      <c r="J23" s="130" t="s">
        <v>53</v>
      </c>
      <c r="K23" s="114" t="s">
        <v>52</v>
      </c>
      <c r="L23" s="114" t="s">
        <v>53</v>
      </c>
      <c r="M23" s="114" t="s">
        <v>52</v>
      </c>
      <c r="N23" s="115" t="s">
        <v>57</v>
      </c>
    </row>
    <row r="24" spans="1:14" ht="13.5" customHeight="1" x14ac:dyDescent="0.2">
      <c r="A24" s="99">
        <v>24</v>
      </c>
      <c r="B24" s="380" t="str">
        <f>'D1. Member Months'!B$10</f>
        <v>Nursing Home Level of Care</v>
      </c>
      <c r="C24" s="131">
        <f>'D1. Member Months'!D10</f>
        <v>436922.1</v>
      </c>
      <c r="D24" s="132">
        <f>'D3. Actual Waiver Cost'!K26</f>
        <v>2914.0903533375858</v>
      </c>
      <c r="E24" s="117">
        <f>'D3. Actual Waiver Cost'!L26</f>
        <v>0</v>
      </c>
      <c r="F24" s="117">
        <f>'D3. Actual Waiver Cost'!M26</f>
        <v>0</v>
      </c>
      <c r="G24" s="117">
        <f>'D3. Actual Waiver Cost'!N26</f>
        <v>113.86278011572315</v>
      </c>
      <c r="H24" s="280">
        <f>'D3. Actual Waiver Cost'!O26</f>
        <v>3027.953133453309</v>
      </c>
      <c r="I24" s="403">
        <f>(H24/H12)-1</f>
        <v>-2.9288706170912282E-2</v>
      </c>
      <c r="J24" s="484">
        <v>3148.4725482786475</v>
      </c>
      <c r="K24" s="394">
        <v>0</v>
      </c>
      <c r="L24" s="394">
        <v>0</v>
      </c>
      <c r="M24" s="486">
        <v>115.62558957791396</v>
      </c>
      <c r="N24" s="487">
        <f>SUM(J24:M24)</f>
        <v>3264.0981378565616</v>
      </c>
    </row>
    <row r="25" spans="1:14" ht="13.5" customHeight="1" x14ac:dyDescent="0.2">
      <c r="A25" s="99">
        <v>25</v>
      </c>
      <c r="B25" s="380" t="str">
        <f>'D1. Member Months'!B$11</f>
        <v>Non-Nursing Home Level of Care</v>
      </c>
      <c r="C25" s="36">
        <f>'D1. Member Months'!D11</f>
        <v>15335.830000000002</v>
      </c>
      <c r="D25" s="281">
        <f>'D3. Actual Waiver Cost'!K27</f>
        <v>565.97412725623587</v>
      </c>
      <c r="E25" s="40">
        <f>'D3. Actual Waiver Cost'!L27</f>
        <v>0</v>
      </c>
      <c r="F25" s="40">
        <f>'D3. Actual Waiver Cost'!M27</f>
        <v>0</v>
      </c>
      <c r="G25" s="40">
        <f>'D3. Actual Waiver Cost'!N27</f>
        <v>22.57921481915227</v>
      </c>
      <c r="H25" s="41">
        <f>'D3. Actual Waiver Cost'!O27</f>
        <v>588.55334207538806</v>
      </c>
      <c r="I25" s="403">
        <f>(H25/H13)-1</f>
        <v>3.3740453590376251E-3</v>
      </c>
      <c r="J25" s="484">
        <v>582.48731604452962</v>
      </c>
      <c r="K25" s="394">
        <v>0</v>
      </c>
      <c r="L25" s="394">
        <v>0</v>
      </c>
      <c r="M25" s="486">
        <v>27.691937177702556</v>
      </c>
      <c r="N25" s="487">
        <f>SUM(J25:M25)</f>
        <v>610.17925322223221</v>
      </c>
    </row>
    <row r="26" spans="1:14" ht="13.5" customHeight="1" x14ac:dyDescent="0.2">
      <c r="A26" s="99">
        <v>26</v>
      </c>
      <c r="B26" s="380"/>
      <c r="C26" s="36"/>
      <c r="D26" s="281"/>
      <c r="E26" s="40"/>
      <c r="F26" s="40"/>
      <c r="G26" s="40"/>
      <c r="H26" s="41"/>
      <c r="I26" s="403"/>
      <c r="J26" s="484"/>
      <c r="K26" s="396"/>
      <c r="L26" s="396"/>
      <c r="M26" s="486"/>
      <c r="N26" s="487"/>
    </row>
    <row r="27" spans="1:14" ht="13.5" customHeight="1" thickBot="1" x14ac:dyDescent="0.25">
      <c r="A27" s="99">
        <v>27</v>
      </c>
      <c r="B27" s="380"/>
      <c r="C27" s="45"/>
      <c r="D27" s="282"/>
      <c r="E27" s="118"/>
      <c r="F27" s="118"/>
      <c r="G27" s="118"/>
      <c r="H27" s="283"/>
      <c r="I27" s="403"/>
      <c r="J27" s="397"/>
      <c r="K27" s="398"/>
      <c r="L27" s="398"/>
      <c r="M27" s="398"/>
      <c r="N27" s="399"/>
    </row>
    <row r="28" spans="1:14" ht="13.5" customHeight="1" thickTop="1" thickBot="1" x14ac:dyDescent="0.25">
      <c r="A28" s="99">
        <v>28</v>
      </c>
      <c r="B28" s="133" t="s">
        <v>64</v>
      </c>
      <c r="C28" s="134">
        <f>SUM(C24:C27)</f>
        <v>452257.93</v>
      </c>
      <c r="D28" s="140"/>
      <c r="E28" s="140"/>
      <c r="F28" s="140"/>
      <c r="G28" s="140"/>
      <c r="H28" s="140"/>
      <c r="I28" s="404" t="s">
        <v>129</v>
      </c>
      <c r="J28" s="140"/>
      <c r="K28" s="140"/>
      <c r="L28" s="140"/>
      <c r="M28" s="140"/>
      <c r="N28" s="140"/>
    </row>
    <row r="29" spans="1:14" ht="13.5" customHeight="1" thickTop="1" thickBot="1" x14ac:dyDescent="0.25">
      <c r="A29" s="99">
        <v>29</v>
      </c>
      <c r="B29" s="133" t="s">
        <v>274</v>
      </c>
      <c r="C29" s="134"/>
      <c r="D29" s="138">
        <f>SUMPRODUCT(D24:D27,$C$12:$C$15)/$C$16</f>
        <v>2834.6957177375257</v>
      </c>
      <c r="E29" s="138">
        <f>SUMPRODUCT(E24:E27,$C$12:$C$15)/$C$16</f>
        <v>0</v>
      </c>
      <c r="F29" s="138">
        <f>SUMPRODUCT(F24:F27,$C$12:$C$15)/$C$16</f>
        <v>0</v>
      </c>
      <c r="G29" s="138">
        <f>SUMPRODUCT(G24:G27,$C$12:$C$15)/$C$16</f>
        <v>110.77629516131763</v>
      </c>
      <c r="H29" s="138">
        <f>SUMPRODUCT(H24:H27,$C$12:$C$15)/$C$16</f>
        <v>2945.4720128988433</v>
      </c>
      <c r="I29" s="405">
        <f>(H29/H17)-1</f>
        <v>-2.9075166773296801E-2</v>
      </c>
      <c r="J29" s="138"/>
      <c r="K29" s="138"/>
      <c r="L29" s="138"/>
      <c r="M29" s="138"/>
      <c r="N29" s="138"/>
    </row>
    <row r="30" spans="1:14" ht="13.5" customHeight="1" thickTop="1" thickBot="1" x14ac:dyDescent="0.25">
      <c r="A30" s="99">
        <v>30</v>
      </c>
      <c r="B30" s="133" t="s">
        <v>288</v>
      </c>
      <c r="C30" s="134"/>
      <c r="D30" s="138">
        <f>SUMPRODUCT(D24:D27,$C$24:$C$27)/$C$28</f>
        <v>2834.4669595290457</v>
      </c>
      <c r="E30" s="138">
        <f>SUMPRODUCT(E24:E27,$C$24:$C$27)/$C$28</f>
        <v>0</v>
      </c>
      <c r="F30" s="138">
        <f>SUMPRODUCT(F24:F27,$C$24:$C$27)/$C$28</f>
        <v>0</v>
      </c>
      <c r="G30" s="138">
        <f>SUMPRODUCT(G24:G27,$C$24:$C$27)/$C$28</f>
        <v>110.76740213267239</v>
      </c>
      <c r="H30" s="138">
        <f>SUMPRODUCT(H24:H27,$C$24:$C$27)/$C$28</f>
        <v>2945.2343616617181</v>
      </c>
      <c r="I30" s="406">
        <f>(H30/H17)-1</f>
        <v>-2.9153504468159008E-2</v>
      </c>
      <c r="J30" s="138">
        <f>SUMPRODUCT(J24:J27,$C$24:$C$27)/$C$28</f>
        <v>3061.461330356934</v>
      </c>
      <c r="K30" s="138">
        <f>SUMPRODUCT(K24:K27,$C$24:$C$27)/$C$28</f>
        <v>0</v>
      </c>
      <c r="L30" s="138">
        <f>SUMPRODUCT(L24:L27,$C$24:$C$27)/$C$28</f>
        <v>0</v>
      </c>
      <c r="M30" s="138">
        <f>SUMPRODUCT(M24:M27,$C$24:$C$27)/$C$28</f>
        <v>112.6438053900972</v>
      </c>
      <c r="N30" s="138">
        <f>SUMPRODUCT(N24:N27,$C$24:$C$27)/$C$28</f>
        <v>3174.1051357470315</v>
      </c>
    </row>
    <row r="31" spans="1:14" ht="13.5" customHeight="1" thickTop="1" thickBot="1" x14ac:dyDescent="0.25">
      <c r="A31" s="99">
        <v>31</v>
      </c>
      <c r="B31" s="139" t="s">
        <v>216</v>
      </c>
      <c r="C31" s="140"/>
      <c r="D31" s="140"/>
      <c r="E31" s="140"/>
      <c r="F31" s="140"/>
      <c r="G31" s="140"/>
      <c r="H31" s="141">
        <f>H30*C28</f>
        <v>1332005595.77</v>
      </c>
      <c r="I31" s="310"/>
      <c r="J31" s="139" t="s">
        <v>592</v>
      </c>
      <c r="K31" s="140"/>
      <c r="L31" s="140"/>
      <c r="M31" s="140"/>
      <c r="N31" s="141">
        <f>N30*C28</f>
        <v>1435514218.2953215</v>
      </c>
    </row>
    <row r="32" spans="1:14" ht="13.5" customHeight="1" thickTop="1" thickBot="1" x14ac:dyDescent="0.25">
      <c r="A32" s="99">
        <v>32</v>
      </c>
      <c r="B32" s="125"/>
      <c r="H32" s="277"/>
      <c r="N32" s="277"/>
    </row>
    <row r="33" spans="1:14" ht="13.5" customHeight="1" thickTop="1" thickBot="1" x14ac:dyDescent="0.25">
      <c r="A33" s="99">
        <v>33</v>
      </c>
      <c r="B33" s="139" t="s">
        <v>259</v>
      </c>
      <c r="C33" s="140"/>
      <c r="D33" s="140"/>
      <c r="E33" s="140"/>
      <c r="F33" s="140"/>
      <c r="G33" s="140"/>
      <c r="H33" s="141">
        <f>H18+H31</f>
        <v>2664453391.1208315</v>
      </c>
      <c r="J33" s="140"/>
      <c r="K33" s="140"/>
      <c r="L33" s="140"/>
      <c r="M33" s="140"/>
      <c r="N33" s="141">
        <f>N31+N18</f>
        <v>2808402108.7028408</v>
      </c>
    </row>
    <row r="34" spans="1:14" ht="13.5" customHeight="1" thickTop="1" thickBot="1" x14ac:dyDescent="0.25">
      <c r="A34" s="99">
        <v>34</v>
      </c>
      <c r="B34" s="139" t="s">
        <v>234</v>
      </c>
      <c r="C34" s="140"/>
      <c r="D34" s="140"/>
      <c r="E34" s="140"/>
      <c r="F34" s="140"/>
      <c r="G34" s="140"/>
      <c r="H34" s="141">
        <f>N33-H33</f>
        <v>143948717.58200932</v>
      </c>
      <c r="I34" s="291"/>
      <c r="N34" s="555"/>
    </row>
    <row r="35" spans="1:14" ht="13.5" customHeight="1" thickTop="1" x14ac:dyDescent="0.2">
      <c r="A35" s="99">
        <v>35</v>
      </c>
      <c r="B35" s="125"/>
      <c r="H35" s="277"/>
      <c r="J35" s="445"/>
      <c r="K35" s="445"/>
      <c r="L35" s="445"/>
      <c r="M35" s="445"/>
      <c r="N35" s="559"/>
    </row>
    <row r="36" spans="1:14" ht="13.5" customHeight="1" thickBot="1" x14ac:dyDescent="0.25">
      <c r="A36" s="99">
        <v>36</v>
      </c>
      <c r="B36" s="122" t="s">
        <v>218</v>
      </c>
      <c r="C36" s="123"/>
      <c r="D36" s="145"/>
      <c r="E36" s="145"/>
      <c r="F36" s="145"/>
      <c r="G36" s="145"/>
      <c r="H36" s="145"/>
      <c r="I36" s="146"/>
      <c r="J36" s="447"/>
      <c r="K36" s="447"/>
      <c r="L36" s="447"/>
      <c r="M36" s="447"/>
      <c r="N36" s="560"/>
    </row>
    <row r="37" spans="1:14" ht="13.5" customHeight="1" x14ac:dyDescent="0.2">
      <c r="A37" s="99">
        <v>37</v>
      </c>
      <c r="B37" s="104"/>
      <c r="C37" s="216" t="s">
        <v>105</v>
      </c>
      <c r="D37" s="105" t="s">
        <v>172</v>
      </c>
      <c r="E37" s="105"/>
      <c r="F37" s="105"/>
      <c r="G37" s="105"/>
      <c r="H37" s="105"/>
      <c r="I37" s="453"/>
      <c r="J37" s="447"/>
      <c r="K37" s="447"/>
      <c r="L37" s="447"/>
      <c r="M37" s="447"/>
      <c r="N37" s="556"/>
    </row>
    <row r="38" spans="1:14" ht="13.5" customHeight="1" x14ac:dyDescent="0.2">
      <c r="A38" s="99">
        <v>38</v>
      </c>
      <c r="B38" s="107" t="s">
        <v>140</v>
      </c>
      <c r="C38" s="217" t="s">
        <v>141</v>
      </c>
      <c r="D38" s="270" t="s">
        <v>127</v>
      </c>
      <c r="E38" s="108" t="s">
        <v>127</v>
      </c>
      <c r="F38" s="108" t="s">
        <v>127</v>
      </c>
      <c r="G38" s="108" t="s">
        <v>127</v>
      </c>
      <c r="H38" s="271" t="s">
        <v>127</v>
      </c>
      <c r="I38" s="454" t="s">
        <v>151</v>
      </c>
      <c r="J38" s="447"/>
      <c r="K38" s="447"/>
      <c r="L38" s="447"/>
      <c r="M38" s="447"/>
      <c r="N38" s="557"/>
    </row>
    <row r="39" spans="1:14" ht="13.5" customHeight="1" x14ac:dyDescent="0.2">
      <c r="A39" s="99">
        <v>39</v>
      </c>
      <c r="B39" s="107" t="s">
        <v>143</v>
      </c>
      <c r="C39" s="218" t="s">
        <v>106</v>
      </c>
      <c r="D39" s="272" t="s">
        <v>102</v>
      </c>
      <c r="E39" s="110" t="s">
        <v>47</v>
      </c>
      <c r="F39" s="110" t="s">
        <v>103</v>
      </c>
      <c r="G39" s="110" t="s">
        <v>48</v>
      </c>
      <c r="H39" s="273" t="s">
        <v>105</v>
      </c>
      <c r="I39" s="455" t="s">
        <v>209</v>
      </c>
      <c r="J39" s="448"/>
      <c r="K39" s="448"/>
      <c r="L39" s="448"/>
      <c r="M39" s="448"/>
      <c r="N39" s="558"/>
    </row>
    <row r="40" spans="1:14" ht="13.5" customHeight="1" x14ac:dyDescent="0.2">
      <c r="A40" s="99">
        <v>40</v>
      </c>
      <c r="B40" s="113" t="s">
        <v>40</v>
      </c>
      <c r="C40" s="219" t="s">
        <v>18</v>
      </c>
      <c r="D40" s="274" t="s">
        <v>114</v>
      </c>
      <c r="E40" s="114" t="s">
        <v>114</v>
      </c>
      <c r="F40" s="114" t="s">
        <v>114</v>
      </c>
      <c r="G40" s="114" t="s">
        <v>114</v>
      </c>
      <c r="H40" s="275" t="s">
        <v>57</v>
      </c>
      <c r="I40" s="456" t="s">
        <v>152</v>
      </c>
      <c r="J40" s="448"/>
      <c r="K40" s="448"/>
      <c r="L40" s="448"/>
      <c r="M40" s="448"/>
      <c r="N40" s="448"/>
    </row>
    <row r="41" spans="1:14" ht="13.5" customHeight="1" x14ac:dyDescent="0.2">
      <c r="A41" s="99">
        <v>41</v>
      </c>
      <c r="B41" s="380" t="str">
        <f>'D1. Member Months'!B$10</f>
        <v>Nursing Home Level of Care</v>
      </c>
      <c r="C41" s="220">
        <f>'D1. Member Months'!I10</f>
        <v>459639.52407499263</v>
      </c>
      <c r="D41" s="225">
        <f>'D5. Waiver Cost Projection'!D30</f>
        <v>3058.5884778144591</v>
      </c>
      <c r="E41" s="40">
        <f>'D5. Waiver Cost Projection'!E30</f>
        <v>0</v>
      </c>
      <c r="F41" s="40">
        <f>'D5. Waiver Cost Projection'!F30</f>
        <v>0</v>
      </c>
      <c r="G41" s="40">
        <f>'D5. Waiver Cost Projection'!G30</f>
        <v>117.74621409465074</v>
      </c>
      <c r="H41" s="228">
        <f>'D5. Waiver Cost Projection'!H30</f>
        <v>3176.33469190911</v>
      </c>
      <c r="I41" s="457">
        <f>(H41/H24)-1</f>
        <v>4.9003915158546629E-2</v>
      </c>
      <c r="J41" s="448"/>
      <c r="K41" s="448"/>
      <c r="L41" s="448"/>
      <c r="M41" s="448"/>
      <c r="N41" s="448"/>
    </row>
    <row r="42" spans="1:14" ht="13.5" customHeight="1" x14ac:dyDescent="0.2">
      <c r="A42" s="99">
        <v>42</v>
      </c>
      <c r="B42" s="380" t="str">
        <f>'D1. Member Months'!B$11</f>
        <v>Non-Nursing Home Level of Care</v>
      </c>
      <c r="C42" s="220">
        <f>'D1. Member Months'!I11</f>
        <v>16028.725544690078</v>
      </c>
      <c r="D42" s="225">
        <f>'D5. Waiver Cost Projection'!D31</f>
        <v>582.04640953238152</v>
      </c>
      <c r="E42" s="40">
        <f>'D5. Waiver Cost Projection'!E31</f>
        <v>0</v>
      </c>
      <c r="F42" s="40">
        <f>'D5. Waiver Cost Projection'!F31</f>
        <v>0</v>
      </c>
      <c r="G42" s="40">
        <f>'D5. Waiver Cost Projection'!G31</f>
        <v>23.349307468893333</v>
      </c>
      <c r="H42" s="228">
        <f>'D5. Waiver Cost Projection'!H31</f>
        <v>605.39571700127487</v>
      </c>
      <c r="I42" s="458">
        <f>(H42/H25)-1</f>
        <v>2.8616564925952659E-2</v>
      </c>
      <c r="J42" s="448"/>
      <c r="K42" s="448"/>
      <c r="L42" s="448"/>
      <c r="M42" s="448"/>
      <c r="N42" s="448"/>
    </row>
    <row r="43" spans="1:14" ht="13.5" customHeight="1" x14ac:dyDescent="0.2">
      <c r="A43" s="99">
        <v>43</v>
      </c>
      <c r="B43" s="380"/>
      <c r="C43" s="220"/>
      <c r="D43" s="225"/>
      <c r="E43" s="40"/>
      <c r="F43" s="40"/>
      <c r="G43" s="40"/>
      <c r="H43" s="228"/>
      <c r="I43" s="458"/>
      <c r="J43" s="439"/>
      <c r="K43" s="439"/>
      <c r="L43" s="439"/>
      <c r="M43" s="439"/>
      <c r="N43" s="439"/>
    </row>
    <row r="44" spans="1:14" ht="13.5" customHeight="1" thickBot="1" x14ac:dyDescent="0.25">
      <c r="A44" s="99">
        <v>44</v>
      </c>
      <c r="B44" s="380"/>
      <c r="C44" s="227"/>
      <c r="D44" s="226"/>
      <c r="E44" s="118"/>
      <c r="F44" s="118"/>
      <c r="G44" s="118"/>
      <c r="H44" s="229"/>
      <c r="I44" s="459"/>
      <c r="J44" s="449"/>
      <c r="K44" s="449"/>
      <c r="L44" s="449"/>
      <c r="M44" s="449"/>
      <c r="N44" s="449"/>
    </row>
    <row r="45" spans="1:14" ht="13.5" customHeight="1" thickTop="1" thickBot="1" x14ac:dyDescent="0.25">
      <c r="A45" s="99">
        <v>45</v>
      </c>
      <c r="B45" s="133" t="s">
        <v>64</v>
      </c>
      <c r="C45" s="135">
        <f>SUM(C41:C44)</f>
        <v>475668.24961968273</v>
      </c>
      <c r="D45" s="136"/>
      <c r="E45" s="137"/>
      <c r="F45" s="137"/>
      <c r="G45" s="137"/>
      <c r="H45" s="137"/>
      <c r="I45" s="460" t="s">
        <v>129</v>
      </c>
      <c r="J45" s="449"/>
      <c r="K45" s="449"/>
      <c r="L45" s="449"/>
      <c r="M45" s="449"/>
      <c r="N45" s="449"/>
    </row>
    <row r="46" spans="1:14" ht="13.5" customHeight="1" thickTop="1" thickBot="1" x14ac:dyDescent="0.25">
      <c r="A46" s="99">
        <v>46</v>
      </c>
      <c r="B46" s="133" t="s">
        <v>275</v>
      </c>
      <c r="C46" s="134"/>
      <c r="D46" s="138">
        <f>SUMPRODUCT(D41:D44,$C$24:$C$27)/$C$28</f>
        <v>2974.6102308282261</v>
      </c>
      <c r="E46" s="138">
        <f>SUMPRODUCT(E41:E44,$C$24:$C$27)/$C$28</f>
        <v>0</v>
      </c>
      <c r="F46" s="138">
        <f>SUMPRODUCT(F41:F44,$C$24:$C$27)/$C$28</f>
        <v>0</v>
      </c>
      <c r="G46" s="138">
        <f>SUMPRODUCT(G41:G44,$C$24:$C$27)/$C$28</f>
        <v>114.54526433454706</v>
      </c>
      <c r="H46" s="138">
        <f>SUMPRODUCT(H41:H44,$C$24:$C$27)/$C$28</f>
        <v>3089.1554951627736</v>
      </c>
      <c r="I46" s="457">
        <f>(H46/H30)-1</f>
        <v>4.8865766125264942E-2</v>
      </c>
      <c r="J46" s="450"/>
      <c r="K46" s="439"/>
      <c r="L46" s="439"/>
      <c r="M46" s="439"/>
      <c r="N46" s="451"/>
    </row>
    <row r="47" spans="1:14" ht="13.5" customHeight="1" thickTop="1" thickBot="1" x14ac:dyDescent="0.25">
      <c r="A47" s="99">
        <v>47</v>
      </c>
      <c r="B47" s="133" t="s">
        <v>276</v>
      </c>
      <c r="C47" s="134"/>
      <c r="D47" s="138">
        <f>SUMPRODUCT(D41:D44,$C$41:$C$44)/$C$45</f>
        <v>2975.135749691211</v>
      </c>
      <c r="E47" s="138">
        <f>SUMPRODUCT(E41:E44,$C$41:$C$44)/$C$45</f>
        <v>0</v>
      </c>
      <c r="F47" s="138">
        <f>SUMPRODUCT(F41:F44,$C$41:$C$44)/$C$45</f>
        <v>0</v>
      </c>
      <c r="G47" s="138">
        <f>SUMPRODUCT(G41:G44,$C$41:$C$44)/$C$45</f>
        <v>114.56529522991305</v>
      </c>
      <c r="H47" s="138">
        <f>SUMPRODUCT(H41:H44,$C$41:$C$44)/$C$45</f>
        <v>3089.7010449211243</v>
      </c>
      <c r="I47" s="461">
        <f>(H47/H30)-1</f>
        <v>4.9050997482555925E-2</v>
      </c>
      <c r="J47" s="439"/>
      <c r="K47" s="439"/>
      <c r="L47" s="439"/>
      <c r="M47" s="439"/>
      <c r="N47" s="451"/>
    </row>
    <row r="48" spans="1:14" ht="13.5" customHeight="1" thickTop="1" thickBot="1" x14ac:dyDescent="0.25">
      <c r="A48" s="99">
        <v>48</v>
      </c>
      <c r="B48" s="276" t="s">
        <v>323</v>
      </c>
      <c r="C48" s="142"/>
      <c r="D48" s="143"/>
      <c r="E48" s="143"/>
      <c r="F48" s="143"/>
      <c r="G48" s="143"/>
      <c r="H48" s="144">
        <f>H47*C45</f>
        <v>1469672687.885736</v>
      </c>
      <c r="I48" s="234"/>
      <c r="J48" s="439"/>
      <c r="K48" s="439"/>
      <c r="L48" s="439"/>
      <c r="M48" s="439"/>
      <c r="N48" s="451"/>
    </row>
    <row r="49" spans="1:14" ht="13.5" customHeight="1" thickTop="1" thickBot="1" x14ac:dyDescent="0.25">
      <c r="A49" s="99">
        <v>49</v>
      </c>
      <c r="B49" s="122"/>
      <c r="I49" s="407"/>
      <c r="J49" s="439"/>
      <c r="K49" s="439"/>
      <c r="L49" s="439"/>
      <c r="M49" s="439"/>
      <c r="N49" s="439"/>
    </row>
    <row r="50" spans="1:14" ht="13.5" customHeight="1" x14ac:dyDescent="0.2">
      <c r="A50" s="99">
        <v>50</v>
      </c>
      <c r="B50" s="104"/>
      <c r="C50" s="216" t="s">
        <v>105</v>
      </c>
      <c r="D50" s="105" t="s">
        <v>173</v>
      </c>
      <c r="E50" s="105"/>
      <c r="F50" s="105"/>
      <c r="G50" s="105"/>
      <c r="H50" s="106"/>
      <c r="I50" s="462" t="s">
        <v>129</v>
      </c>
      <c r="J50" s="445"/>
      <c r="K50" s="445"/>
      <c r="L50" s="445"/>
      <c r="M50" s="445"/>
      <c r="N50" s="446"/>
    </row>
    <row r="51" spans="1:14" ht="13.5" customHeight="1" x14ac:dyDescent="0.2">
      <c r="A51" s="99">
        <v>51</v>
      </c>
      <c r="B51" s="107" t="s">
        <v>140</v>
      </c>
      <c r="C51" s="217" t="s">
        <v>150</v>
      </c>
      <c r="D51" s="270" t="s">
        <v>169</v>
      </c>
      <c r="E51" s="108" t="s">
        <v>169</v>
      </c>
      <c r="F51" s="108" t="s">
        <v>169</v>
      </c>
      <c r="G51" s="108" t="s">
        <v>169</v>
      </c>
      <c r="H51" s="108" t="s">
        <v>169</v>
      </c>
      <c r="I51" s="463" t="s">
        <v>153</v>
      </c>
      <c r="J51" s="447"/>
      <c r="K51" s="447"/>
      <c r="L51" s="447"/>
      <c r="M51" s="447"/>
      <c r="N51" s="447"/>
    </row>
    <row r="52" spans="1:14" ht="13.5" customHeight="1" x14ac:dyDescent="0.2">
      <c r="A52" s="99">
        <v>52</v>
      </c>
      <c r="B52" s="107" t="s">
        <v>143</v>
      </c>
      <c r="C52" s="218" t="s">
        <v>106</v>
      </c>
      <c r="D52" s="272" t="s">
        <v>102</v>
      </c>
      <c r="E52" s="110" t="s">
        <v>47</v>
      </c>
      <c r="F52" s="110" t="s">
        <v>103</v>
      </c>
      <c r="G52" s="110" t="s">
        <v>48</v>
      </c>
      <c r="H52" s="111" t="s">
        <v>105</v>
      </c>
      <c r="I52" s="464" t="s">
        <v>154</v>
      </c>
      <c r="J52" s="447"/>
      <c r="K52" s="447"/>
      <c r="L52" s="447"/>
      <c r="M52" s="447"/>
      <c r="N52" s="447"/>
    </row>
    <row r="53" spans="1:14" ht="13.5" customHeight="1" x14ac:dyDescent="0.2">
      <c r="A53" s="99">
        <v>53</v>
      </c>
      <c r="B53" s="113" t="s">
        <v>40</v>
      </c>
      <c r="C53" s="219" t="s">
        <v>19</v>
      </c>
      <c r="D53" s="274" t="s">
        <v>114</v>
      </c>
      <c r="E53" s="114" t="s">
        <v>114</v>
      </c>
      <c r="F53" s="114" t="s">
        <v>114</v>
      </c>
      <c r="G53" s="114" t="s">
        <v>114</v>
      </c>
      <c r="H53" s="115" t="s">
        <v>57</v>
      </c>
      <c r="I53" s="465" t="s">
        <v>152</v>
      </c>
      <c r="J53" s="447"/>
      <c r="K53" s="447"/>
      <c r="L53" s="447"/>
      <c r="M53" s="447"/>
      <c r="N53" s="447"/>
    </row>
    <row r="54" spans="1:14" ht="13.5" customHeight="1" x14ac:dyDescent="0.2">
      <c r="A54" s="99">
        <v>54</v>
      </c>
      <c r="B54" s="380" t="str">
        <f>'D1. Member Months'!B$10</f>
        <v>Nursing Home Level of Care</v>
      </c>
      <c r="C54" s="220">
        <f>'D1. Member Months'!N10</f>
        <v>486374.03296759416</v>
      </c>
      <c r="D54" s="225">
        <f>'D5. Waiver Cost Projection'!O30</f>
        <v>3135.2886768993676</v>
      </c>
      <c r="E54" s="40">
        <f>'D5. Waiver Cost Projection'!S30</f>
        <v>0</v>
      </c>
      <c r="F54" s="40">
        <f>'D5. Waiver Cost Projection'!W30</f>
        <v>0</v>
      </c>
      <c r="G54" s="40">
        <f>'D5. Waiver Cost Projection'!AA30</f>
        <v>121.17197143201784</v>
      </c>
      <c r="H54" s="116">
        <f>'D5. Waiver Cost Projection'!AB30</f>
        <v>3256.4606483313855</v>
      </c>
      <c r="I54" s="457">
        <f>(H54/H41)-1</f>
        <v>2.5225917352593719E-2</v>
      </c>
      <c r="J54" s="448"/>
      <c r="K54" s="448"/>
      <c r="L54" s="447"/>
      <c r="M54" s="448"/>
      <c r="N54" s="448"/>
    </row>
    <row r="55" spans="1:14" ht="13.5" customHeight="1" x14ac:dyDescent="0.2">
      <c r="A55" s="99">
        <v>55</v>
      </c>
      <c r="B55" s="380" t="str">
        <f>'D1. Member Months'!B$11</f>
        <v>Non-Nursing Home Level of Care</v>
      </c>
      <c r="C55" s="220">
        <f>'D1. Member Months'!N11</f>
        <v>16465.567298732218</v>
      </c>
      <c r="D55" s="225">
        <f>'D5. Waiver Cost Projection'!O31</f>
        <v>598.23730427105954</v>
      </c>
      <c r="E55" s="40">
        <f>'D5. Waiver Cost Projection'!S31</f>
        <v>0</v>
      </c>
      <c r="F55" s="40">
        <f>'D5. Waiver Cost Projection'!W31</f>
        <v>0</v>
      </c>
      <c r="G55" s="40">
        <f>'D5. Waiver Cost Projection'!AA31</f>
        <v>24.028641934116159</v>
      </c>
      <c r="H55" s="116">
        <f>'D5. Waiver Cost Projection'!AB31</f>
        <v>622.26594620517574</v>
      </c>
      <c r="I55" s="458">
        <f>(H55/H42)-1</f>
        <v>2.7866449547189864E-2</v>
      </c>
      <c r="J55" s="448"/>
      <c r="K55" s="448"/>
      <c r="L55" s="447"/>
      <c r="M55" s="448"/>
      <c r="N55" s="448"/>
    </row>
    <row r="56" spans="1:14" ht="13.5" customHeight="1" x14ac:dyDescent="0.2">
      <c r="A56" s="99">
        <v>56</v>
      </c>
      <c r="B56" s="380"/>
      <c r="C56" s="220"/>
      <c r="D56" s="225"/>
      <c r="E56" s="40"/>
      <c r="F56" s="40"/>
      <c r="G56" s="40"/>
      <c r="H56" s="116"/>
      <c r="I56" s="458"/>
      <c r="J56" s="448"/>
      <c r="K56" s="448"/>
      <c r="L56" s="448"/>
      <c r="M56" s="448"/>
      <c r="N56" s="448"/>
    </row>
    <row r="57" spans="1:14" ht="13.5" customHeight="1" thickBot="1" x14ac:dyDescent="0.25">
      <c r="A57" s="99">
        <v>57</v>
      </c>
      <c r="B57" s="380"/>
      <c r="C57" s="227"/>
      <c r="D57" s="226"/>
      <c r="E57" s="118"/>
      <c r="F57" s="118"/>
      <c r="G57" s="118"/>
      <c r="H57" s="119"/>
      <c r="I57" s="459"/>
      <c r="J57" s="448"/>
      <c r="K57" s="448"/>
      <c r="L57" s="448"/>
      <c r="M57" s="448"/>
      <c r="N57" s="448"/>
    </row>
    <row r="58" spans="1:14" ht="13.5" customHeight="1" thickTop="1" thickBot="1" x14ac:dyDescent="0.25">
      <c r="A58" s="99">
        <v>58</v>
      </c>
      <c r="B58" s="133" t="s">
        <v>64</v>
      </c>
      <c r="C58" s="135">
        <f>SUM(C54:C57)</f>
        <v>502839.60026632639</v>
      </c>
      <c r="D58" s="136"/>
      <c r="E58" s="137"/>
      <c r="F58" s="137"/>
      <c r="G58" s="137"/>
      <c r="H58" s="137"/>
      <c r="I58" s="466"/>
      <c r="J58" s="439"/>
      <c r="K58" s="439"/>
      <c r="L58" s="439"/>
      <c r="M58" s="439"/>
      <c r="N58" s="439"/>
    </row>
    <row r="59" spans="1:14" ht="13.5" customHeight="1" thickTop="1" thickBot="1" x14ac:dyDescent="0.25">
      <c r="A59" s="17">
        <v>59</v>
      </c>
      <c r="B59" s="133" t="s">
        <v>277</v>
      </c>
      <c r="C59" s="134"/>
      <c r="D59" s="138">
        <f>SUMPRODUCT(D54:D57,$C$41:$C$44)/$C$45</f>
        <v>3049.7969498876264</v>
      </c>
      <c r="E59" s="138">
        <f>SUMPRODUCT(E54:E57,$C$41:$C$44)/$C$45</f>
        <v>0</v>
      </c>
      <c r="F59" s="138">
        <f>SUMPRODUCT(F54:F57,$C$41:$C$44)/$C$45</f>
        <v>0</v>
      </c>
      <c r="G59" s="138">
        <f>SUMPRODUCT(G54:G57,$C$41:$C$44)/$C$45</f>
        <v>117.89850559051123</v>
      </c>
      <c r="H59" s="138">
        <f>SUMPRODUCT(H54:H57,$C$41:$C$44)/$C$45</f>
        <v>3167.6954554781382</v>
      </c>
      <c r="I59" s="457">
        <f>(H59/H47)-1</f>
        <v>2.5243351839888017E-2</v>
      </c>
      <c r="J59" s="449"/>
      <c r="K59" s="449"/>
      <c r="L59" s="449"/>
      <c r="M59" s="449"/>
      <c r="N59" s="449"/>
    </row>
    <row r="60" spans="1:14" ht="13.5" customHeight="1" thickTop="1" thickBot="1" x14ac:dyDescent="0.25">
      <c r="A60" s="17">
        <v>60</v>
      </c>
      <c r="B60" s="133" t="s">
        <v>278</v>
      </c>
      <c r="C60" s="134"/>
      <c r="D60" s="138">
        <f>SUMPRODUCT(D54:D57,$C$54:$C$57)/$C$58</f>
        <v>3052.2125029181875</v>
      </c>
      <c r="E60" s="138">
        <f>SUMPRODUCT(E54:E57,$C$54:$C$57)/$C$58</f>
        <v>0</v>
      </c>
      <c r="F60" s="138">
        <f>SUMPRODUCT(F54:F57,$C$54:$C$57)/$C$58</f>
        <v>0</v>
      </c>
      <c r="G60" s="138">
        <f>SUMPRODUCT(G54:G57,$C$54:$C$57)/$C$58</f>
        <v>117.99099676609366</v>
      </c>
      <c r="H60" s="138">
        <f>SUMPRODUCT(H54:H57,$C$54:$C$57)/$C$58</f>
        <v>3170.2034996842813</v>
      </c>
      <c r="I60" s="461">
        <f>(H60/H47)-1</f>
        <v>2.6055095167051068E-2</v>
      </c>
      <c r="J60" s="439"/>
      <c r="K60" s="449"/>
      <c r="L60" s="449"/>
      <c r="M60" s="449"/>
      <c r="N60" s="449"/>
    </row>
    <row r="61" spans="1:14" ht="13.5" customHeight="1" thickTop="1" thickBot="1" x14ac:dyDescent="0.25">
      <c r="A61" s="17">
        <v>61</v>
      </c>
      <c r="B61" s="276" t="s">
        <v>324</v>
      </c>
      <c r="C61" s="142"/>
      <c r="D61" s="565"/>
      <c r="E61" s="143"/>
      <c r="F61" s="143"/>
      <c r="G61" s="143"/>
      <c r="H61" s="144">
        <f>C58*H60</f>
        <v>1594103860.544153</v>
      </c>
      <c r="I61" s="234"/>
      <c r="J61" s="439"/>
      <c r="K61" s="439"/>
      <c r="L61" s="439"/>
      <c r="M61" s="439"/>
      <c r="N61" s="451"/>
    </row>
    <row r="62" spans="1:14" ht="13.5" customHeight="1" thickTop="1" thickBot="1" x14ac:dyDescent="0.25">
      <c r="A62" s="99">
        <v>62</v>
      </c>
      <c r="B62" s="122"/>
      <c r="I62" s="407"/>
      <c r="J62" s="439"/>
      <c r="K62" s="439"/>
      <c r="L62" s="439"/>
      <c r="M62" s="439"/>
      <c r="N62" s="451"/>
    </row>
    <row r="63" spans="1:14" s="24" customFormat="1" ht="13.5" customHeight="1" x14ac:dyDescent="0.2">
      <c r="A63" s="99">
        <v>63</v>
      </c>
      <c r="B63" s="104"/>
      <c r="C63" s="216" t="s">
        <v>105</v>
      </c>
      <c r="D63" s="105" t="s">
        <v>436</v>
      </c>
      <c r="E63" s="105"/>
      <c r="F63" s="105"/>
      <c r="G63" s="105"/>
      <c r="H63" s="106"/>
      <c r="I63" s="462" t="s">
        <v>129</v>
      </c>
      <c r="J63" s="439"/>
      <c r="K63" s="439"/>
      <c r="L63" s="439"/>
      <c r="M63" s="439"/>
      <c r="N63" s="451"/>
    </row>
    <row r="64" spans="1:14" s="24" customFormat="1" ht="13.5" customHeight="1" x14ac:dyDescent="0.2">
      <c r="A64" s="284">
        <v>64</v>
      </c>
      <c r="B64" s="107" t="s">
        <v>140</v>
      </c>
      <c r="C64" s="217" t="s">
        <v>442</v>
      </c>
      <c r="D64" s="270" t="s">
        <v>393</v>
      </c>
      <c r="E64" s="270" t="s">
        <v>393</v>
      </c>
      <c r="F64" s="270" t="s">
        <v>393</v>
      </c>
      <c r="G64" s="270" t="s">
        <v>393</v>
      </c>
      <c r="H64" s="270" t="s">
        <v>393</v>
      </c>
      <c r="I64" s="463" t="s">
        <v>153</v>
      </c>
      <c r="J64" s="452"/>
      <c r="K64" s="452"/>
      <c r="L64" s="452"/>
      <c r="M64" s="452"/>
      <c r="N64" s="452"/>
    </row>
    <row r="65" spans="1:14" s="24" customFormat="1" ht="13.5" customHeight="1" x14ac:dyDescent="0.2">
      <c r="A65" s="284">
        <v>65</v>
      </c>
      <c r="B65" s="107" t="s">
        <v>143</v>
      </c>
      <c r="C65" s="218" t="s">
        <v>106</v>
      </c>
      <c r="D65" s="272" t="s">
        <v>102</v>
      </c>
      <c r="E65" s="110" t="s">
        <v>47</v>
      </c>
      <c r="F65" s="110" t="s">
        <v>103</v>
      </c>
      <c r="G65" s="110" t="s">
        <v>48</v>
      </c>
      <c r="H65" s="111" t="s">
        <v>105</v>
      </c>
      <c r="I65" s="464" t="s">
        <v>439</v>
      </c>
      <c r="J65" s="445"/>
      <c r="K65" s="445"/>
      <c r="L65" s="445"/>
      <c r="M65" s="445"/>
      <c r="N65" s="446"/>
    </row>
    <row r="66" spans="1:14" s="24" customFormat="1" ht="13.5" customHeight="1" x14ac:dyDescent="0.2">
      <c r="A66" s="99">
        <v>66</v>
      </c>
      <c r="B66" s="113" t="s">
        <v>40</v>
      </c>
      <c r="C66" s="219" t="s">
        <v>353</v>
      </c>
      <c r="D66" s="274" t="s">
        <v>114</v>
      </c>
      <c r="E66" s="114" t="s">
        <v>114</v>
      </c>
      <c r="F66" s="114" t="s">
        <v>114</v>
      </c>
      <c r="G66" s="114" t="s">
        <v>114</v>
      </c>
      <c r="H66" s="115" t="s">
        <v>57</v>
      </c>
      <c r="I66" s="465" t="s">
        <v>152</v>
      </c>
      <c r="J66" s="447"/>
      <c r="K66" s="447"/>
      <c r="L66" s="447"/>
      <c r="M66" s="447"/>
      <c r="N66" s="447"/>
    </row>
    <row r="67" spans="1:14" ht="13.5" customHeight="1" x14ac:dyDescent="0.2">
      <c r="A67" s="99">
        <v>67</v>
      </c>
      <c r="B67" s="380" t="str">
        <f>'D1. Member Months'!B$10</f>
        <v>Nursing Home Level of Care</v>
      </c>
      <c r="C67" s="220">
        <f>'D1. Member Months'!G32</f>
        <v>506077.70356960455</v>
      </c>
      <c r="D67" s="225">
        <f>'D5. Waiver Cost Projection'!O43</f>
        <v>3213.9335435598268</v>
      </c>
      <c r="E67" s="40">
        <f>'D5. Waiver Cost Projection'!S43</f>
        <v>0</v>
      </c>
      <c r="F67" s="40">
        <f>'D5. Waiver Cost Projection'!W43</f>
        <v>0</v>
      </c>
      <c r="G67" s="40">
        <f>'D5. Waiver Cost Projection'!AA43</f>
        <v>124.69871251482951</v>
      </c>
      <c r="H67" s="116">
        <f>'D5. Waiver Cost Projection'!AB43</f>
        <v>3338.6322560746562</v>
      </c>
      <c r="I67" s="457">
        <f>(H67/H54)-1</f>
        <v>2.5233410323989514E-2</v>
      </c>
      <c r="J67" s="447"/>
      <c r="K67" s="447"/>
      <c r="L67" s="447"/>
      <c r="M67" s="447"/>
      <c r="N67" s="447"/>
    </row>
    <row r="68" spans="1:14" ht="13.5" customHeight="1" x14ac:dyDescent="0.2">
      <c r="A68" s="99">
        <v>68</v>
      </c>
      <c r="B68" s="380" t="str">
        <f>'D1. Member Months'!B$11</f>
        <v>Non-Nursing Home Level of Care</v>
      </c>
      <c r="C68" s="220">
        <f>'D1. Member Months'!G33</f>
        <v>16854.243082163131</v>
      </c>
      <c r="D68" s="225">
        <f>'D5. Waiver Cost Projection'!O44</f>
        <v>614.94159260004699</v>
      </c>
      <c r="E68" s="40">
        <f>'D5. Waiver Cost Projection'!S44</f>
        <v>0</v>
      </c>
      <c r="F68" s="40">
        <f>'D5. Waiver Cost Projection'!W44</f>
        <v>0</v>
      </c>
      <c r="G68" s="40">
        <f>'D5. Waiver Cost Projection'!AA44</f>
        <v>24.728001676073998</v>
      </c>
      <c r="H68" s="116">
        <f>'D5. Waiver Cost Projection'!AB44</f>
        <v>639.66959427612096</v>
      </c>
      <c r="I68" s="458">
        <f>(H68/H55)-1</f>
        <v>2.7968183341993136E-2</v>
      </c>
      <c r="J68" s="447"/>
      <c r="K68" s="447"/>
      <c r="L68" s="584"/>
      <c r="M68" s="447"/>
      <c r="N68" s="447"/>
    </row>
    <row r="69" spans="1:14" s="232" customFormat="1" ht="13.5" customHeight="1" x14ac:dyDescent="0.2">
      <c r="A69" s="99">
        <v>69</v>
      </c>
      <c r="B69" s="380"/>
      <c r="C69" s="220"/>
      <c r="D69" s="225"/>
      <c r="E69" s="40"/>
      <c r="F69" s="40"/>
      <c r="G69" s="40"/>
      <c r="H69" s="116"/>
      <c r="I69" s="458"/>
      <c r="J69" s="448"/>
      <c r="K69" s="448"/>
      <c r="L69" s="448"/>
      <c r="M69" s="448"/>
      <c r="N69" s="448"/>
    </row>
    <row r="70" spans="1:14" s="232" customFormat="1" ht="13.5" customHeight="1" thickBot="1" x14ac:dyDescent="0.25">
      <c r="A70" s="99">
        <v>70</v>
      </c>
      <c r="B70" s="380"/>
      <c r="C70" s="227"/>
      <c r="D70" s="226"/>
      <c r="E70" s="118"/>
      <c r="F70" s="118"/>
      <c r="G70" s="118"/>
      <c r="H70" s="119"/>
      <c r="I70" s="459"/>
      <c r="J70" s="448"/>
      <c r="K70" s="448"/>
      <c r="L70" s="448"/>
      <c r="M70" s="448"/>
      <c r="N70" s="448"/>
    </row>
    <row r="71" spans="1:14" ht="13.5" customHeight="1" thickTop="1" thickBot="1" x14ac:dyDescent="0.25">
      <c r="A71" s="99">
        <v>71</v>
      </c>
      <c r="B71" s="133" t="s">
        <v>64</v>
      </c>
      <c r="C71" s="135">
        <f>SUM(C67:C70)</f>
        <v>522931.94665176771</v>
      </c>
      <c r="D71" s="136"/>
      <c r="E71" s="137"/>
      <c r="F71" s="137"/>
      <c r="G71" s="137"/>
      <c r="H71" s="137"/>
      <c r="I71" s="466"/>
      <c r="J71" s="448"/>
      <c r="K71" s="448"/>
      <c r="L71" s="448"/>
      <c r="M71" s="448"/>
      <c r="N71" s="448"/>
    </row>
    <row r="72" spans="1:14" ht="13.5" customHeight="1" thickTop="1" thickBot="1" x14ac:dyDescent="0.25">
      <c r="A72" s="99">
        <v>72</v>
      </c>
      <c r="B72" s="133" t="s">
        <v>449</v>
      </c>
      <c r="C72" s="134"/>
      <c r="D72" s="138">
        <f>SUMPRODUCT(D67:D70,$C54:$C57)/C58</f>
        <v>3128.8291149214974</v>
      </c>
      <c r="E72" s="138">
        <f>SUMPRODUCT(E67:E70,$C54:$C57)/C58</f>
        <v>0</v>
      </c>
      <c r="F72" s="138">
        <f>SUMPRODUCT(F67:F70,$C54:$C57)/C58</f>
        <v>0</v>
      </c>
      <c r="G72" s="138">
        <f>SUMPRODUCT(G67:G70,$C54:$C57)/C58</f>
        <v>121.4251547712751</v>
      </c>
      <c r="H72" s="138">
        <f>SUMPRODUCT(H67:H70,$C54:$C57)/C58</f>
        <v>3250.2542696927721</v>
      </c>
      <c r="I72" s="457">
        <f>(H72/H60)-1</f>
        <v>2.5250987836100469E-2</v>
      </c>
      <c r="J72" s="448"/>
      <c r="K72" s="448"/>
      <c r="L72" s="448"/>
      <c r="M72" s="448"/>
      <c r="N72" s="448"/>
    </row>
    <row r="73" spans="1:14" ht="13.5" customHeight="1" thickTop="1" thickBot="1" x14ac:dyDescent="0.25">
      <c r="A73" s="99">
        <v>73</v>
      </c>
      <c r="B73" s="133" t="s">
        <v>422</v>
      </c>
      <c r="C73" s="134"/>
      <c r="D73" s="138">
        <f>SUMPRODUCT(D67:D70,$C67:$C70)/$C71</f>
        <v>3130.1673051601069</v>
      </c>
      <c r="E73" s="138">
        <f>SUMPRODUCT(E67:E70,$C67:$C70)/$C71</f>
        <v>0</v>
      </c>
      <c r="F73" s="138">
        <f>SUMPRODUCT(F67:F70,$C67:$C70)/$C71</f>
        <v>0</v>
      </c>
      <c r="G73" s="138">
        <f>SUMPRODUCT(G67:G70,$C67:$C70)/$C71</f>
        <v>121.47662850875317</v>
      </c>
      <c r="H73" s="138">
        <f>SUMPRODUCT(H67:H70,$C67:$C70)/$C71</f>
        <v>3251.64393366886</v>
      </c>
      <c r="I73" s="461">
        <f>(H73/H60)-1</f>
        <v>2.5689339499085584E-2</v>
      </c>
      <c r="J73" s="439"/>
      <c r="K73" s="439"/>
      <c r="L73" s="439"/>
      <c r="M73" s="439"/>
      <c r="N73" s="439"/>
    </row>
    <row r="74" spans="1:14" ht="13.5" customHeight="1" thickTop="1" thickBot="1" x14ac:dyDescent="0.25">
      <c r="A74" s="99">
        <v>74</v>
      </c>
      <c r="B74" s="276" t="s">
        <v>450</v>
      </c>
      <c r="C74" s="142"/>
      <c r="D74" s="143"/>
      <c r="E74" s="143"/>
      <c r="F74" s="143"/>
      <c r="G74" s="143"/>
      <c r="H74" s="144">
        <f>C71*H73</f>
        <v>1700388492.0518684</v>
      </c>
      <c r="I74" s="234"/>
      <c r="J74" s="439"/>
      <c r="K74" s="449"/>
      <c r="L74" s="449"/>
      <c r="M74" s="449"/>
      <c r="N74" s="449"/>
    </row>
    <row r="75" spans="1:14" ht="15.95" customHeight="1" thickTop="1" thickBot="1" x14ac:dyDescent="0.25">
      <c r="A75" s="99">
        <v>75</v>
      </c>
      <c r="B75" s="122"/>
      <c r="I75" s="407"/>
      <c r="J75" s="449"/>
      <c r="K75" s="449"/>
      <c r="L75" s="449"/>
      <c r="M75" s="449"/>
      <c r="N75" s="449"/>
    </row>
    <row r="76" spans="1:14" ht="15.95" customHeight="1" x14ac:dyDescent="0.2">
      <c r="A76" s="99">
        <v>76</v>
      </c>
      <c r="B76" s="104"/>
      <c r="C76" s="216" t="s">
        <v>105</v>
      </c>
      <c r="D76" s="105" t="s">
        <v>437</v>
      </c>
      <c r="E76" s="105"/>
      <c r="F76" s="105"/>
      <c r="G76" s="105"/>
      <c r="H76" s="106"/>
      <c r="I76" s="462" t="s">
        <v>129</v>
      </c>
      <c r="J76" s="450"/>
      <c r="K76" s="439"/>
      <c r="L76" s="439"/>
      <c r="M76" s="439"/>
      <c r="N76" s="451"/>
    </row>
    <row r="77" spans="1:14" ht="15.95" customHeight="1" x14ac:dyDescent="0.2">
      <c r="A77" s="99">
        <v>77</v>
      </c>
      <c r="B77" s="107" t="s">
        <v>140</v>
      </c>
      <c r="C77" s="217" t="s">
        <v>443</v>
      </c>
      <c r="D77" s="270" t="s">
        <v>391</v>
      </c>
      <c r="E77" s="270" t="s">
        <v>391</v>
      </c>
      <c r="F77" s="270" t="s">
        <v>391</v>
      </c>
      <c r="G77" s="270" t="s">
        <v>391</v>
      </c>
      <c r="H77" s="270" t="s">
        <v>391</v>
      </c>
      <c r="I77" s="463" t="s">
        <v>153</v>
      </c>
      <c r="J77" s="439"/>
      <c r="K77" s="439"/>
      <c r="L77" s="439"/>
      <c r="M77" s="439"/>
      <c r="N77" s="451"/>
    </row>
    <row r="78" spans="1:14" x14ac:dyDescent="0.2">
      <c r="A78" s="99">
        <v>78</v>
      </c>
      <c r="B78" s="107" t="s">
        <v>143</v>
      </c>
      <c r="C78" s="218" t="s">
        <v>106</v>
      </c>
      <c r="D78" s="272" t="s">
        <v>102</v>
      </c>
      <c r="E78" s="110" t="s">
        <v>47</v>
      </c>
      <c r="F78" s="110" t="s">
        <v>103</v>
      </c>
      <c r="G78" s="110" t="s">
        <v>48</v>
      </c>
      <c r="H78" s="111" t="s">
        <v>105</v>
      </c>
      <c r="I78" s="464" t="s">
        <v>440</v>
      </c>
      <c r="J78" s="439"/>
      <c r="K78" s="439"/>
      <c r="L78" s="439"/>
      <c r="M78" s="439"/>
      <c r="N78" s="451"/>
    </row>
    <row r="79" spans="1:14" x14ac:dyDescent="0.2">
      <c r="A79" s="99">
        <v>79</v>
      </c>
      <c r="B79" s="113" t="s">
        <v>40</v>
      </c>
      <c r="C79" s="219" t="s">
        <v>354</v>
      </c>
      <c r="D79" s="274" t="s">
        <v>114</v>
      </c>
      <c r="E79" s="114" t="s">
        <v>114</v>
      </c>
      <c r="F79" s="114" t="s">
        <v>114</v>
      </c>
      <c r="G79" s="114" t="s">
        <v>114</v>
      </c>
      <c r="H79" s="115" t="s">
        <v>57</v>
      </c>
      <c r="I79" s="465" t="s">
        <v>152</v>
      </c>
    </row>
    <row r="80" spans="1:14" x14ac:dyDescent="0.2">
      <c r="A80" s="99">
        <v>80</v>
      </c>
      <c r="B80" s="380" t="str">
        <f>'D1. Member Months'!B$10</f>
        <v>Nursing Home Level of Care</v>
      </c>
      <c r="C80" s="220">
        <f>'D1. Member Months'!L32</f>
        <v>533777.37401923141</v>
      </c>
      <c r="D80" s="225">
        <f>'D5. Waiver Cost Projection'!O57</f>
        <v>3310.467122734738</v>
      </c>
      <c r="E80" s="40">
        <f>'D5. Waiver Cost Projection'!S57</f>
        <v>0</v>
      </c>
      <c r="F80" s="40">
        <f>'D5. Waiver Cost Projection'!W57</f>
        <v>0</v>
      </c>
      <c r="G80" s="40">
        <f>'D5. Waiver Cost Projection'!AA57</f>
        <v>128.32923109313688</v>
      </c>
      <c r="H80" s="116">
        <f>'D5. Waiver Cost Projection'!AB57</f>
        <v>3438.796353827875</v>
      </c>
      <c r="I80" s="457">
        <f>(H80/H67)-1</f>
        <v>3.0001536578630361E-2</v>
      </c>
    </row>
    <row r="81" spans="1:12" x14ac:dyDescent="0.2">
      <c r="A81" s="99">
        <v>81</v>
      </c>
      <c r="B81" s="380" t="str">
        <f>'D1. Member Months'!B$11</f>
        <v>Non-Nursing Home Level of Care</v>
      </c>
      <c r="C81" s="220">
        <f>'D1. Member Months'!L33</f>
        <v>17256.258201118566</v>
      </c>
      <c r="D81" s="225">
        <f>'D5. Waiver Cost Projection'!O58</f>
        <v>632.12027269610746</v>
      </c>
      <c r="E81" s="40">
        <f>'D5. Waiver Cost Projection'!S58</f>
        <v>0</v>
      </c>
      <c r="F81" s="40">
        <f>'D5. Waiver Cost Projection'!W58</f>
        <v>0</v>
      </c>
      <c r="G81" s="40">
        <f>'D5. Waiver Cost Projection'!AA58</f>
        <v>25.447940700935426</v>
      </c>
      <c r="H81" s="116">
        <f>'D5. Waiver Cost Projection'!AB58</f>
        <v>657.56821339704288</v>
      </c>
      <c r="I81" s="458">
        <f>(H81/H68)-1</f>
        <v>2.7981037837474299E-2</v>
      </c>
    </row>
    <row r="82" spans="1:12" x14ac:dyDescent="0.2">
      <c r="A82" s="99">
        <v>82</v>
      </c>
      <c r="B82" s="380"/>
      <c r="C82" s="220"/>
      <c r="D82" s="225"/>
      <c r="E82" s="40"/>
      <c r="F82" s="40"/>
      <c r="G82" s="40"/>
      <c r="H82" s="116"/>
      <c r="I82" s="458"/>
    </row>
    <row r="83" spans="1:12" ht="13.5" thickBot="1" x14ac:dyDescent="0.25">
      <c r="A83" s="99">
        <v>83</v>
      </c>
      <c r="B83" s="380"/>
      <c r="C83" s="227"/>
      <c r="D83" s="225"/>
      <c r="E83" s="40"/>
      <c r="F83" s="40"/>
      <c r="G83" s="40"/>
      <c r="H83" s="116"/>
      <c r="I83" s="459"/>
    </row>
    <row r="84" spans="1:12" ht="14.25" thickTop="1" thickBot="1" x14ac:dyDescent="0.25">
      <c r="A84" s="99">
        <v>84</v>
      </c>
      <c r="B84" s="133" t="s">
        <v>64</v>
      </c>
      <c r="C84" s="135">
        <f>SUM(C80:C83)</f>
        <v>551033.63222034997</v>
      </c>
      <c r="D84" s="136"/>
      <c r="E84" s="137"/>
      <c r="F84" s="137"/>
      <c r="G84" s="137"/>
      <c r="H84" s="137"/>
      <c r="I84" s="466"/>
    </row>
    <row r="85" spans="1:12" ht="14.25" thickTop="1" thickBot="1" x14ac:dyDescent="0.25">
      <c r="A85" s="99">
        <v>85</v>
      </c>
      <c r="B85" s="133" t="s">
        <v>452</v>
      </c>
      <c r="C85" s="134"/>
      <c r="D85" s="138">
        <f>SUMPRODUCT(D80:D83,$C67:$C70)/C71</f>
        <v>3224.1432537152041</v>
      </c>
      <c r="E85" s="138">
        <f>SUMPRODUCT(E80:E83,$C67:$C70)/C71</f>
        <v>0</v>
      </c>
      <c r="F85" s="138">
        <f>SUMPRODUCT(F80:F83,$C67:$C70)/C71</f>
        <v>0</v>
      </c>
      <c r="G85" s="138">
        <f>SUMPRODUCT(G80:G83,$C67:$C70)/C71</f>
        <v>125.01333829297586</v>
      </c>
      <c r="H85" s="138">
        <f>SUMPRODUCT(H80:H83,$C67:$C70)/C71</f>
        <v>3349.1565920081803</v>
      </c>
      <c r="I85" s="457">
        <f>(H85/H73)-1</f>
        <v>2.9988725804087624E-2</v>
      </c>
    </row>
    <row r="86" spans="1:12" ht="14.25" thickTop="1" thickBot="1" x14ac:dyDescent="0.25">
      <c r="A86" s="99">
        <v>86</v>
      </c>
      <c r="B86" s="133" t="s">
        <v>421</v>
      </c>
      <c r="C86" s="134"/>
      <c r="D86" s="138">
        <f>SUMPRODUCT(D80:D83,$C80:$C83)/$C84</f>
        <v>3226.5915803106104</v>
      </c>
      <c r="E86" s="138">
        <f>SUMPRODUCT(E80:E83,$C80:$C83)/$C84</f>
        <v>0</v>
      </c>
      <c r="F86" s="138">
        <f>SUMPRODUCT(F80:F83,$C80:$C83)/$C84</f>
        <v>0</v>
      </c>
      <c r="G86" s="138">
        <f>SUMPRODUCT(G80:G83,$C80:$C83)/$C84</f>
        <v>125.10738399113974</v>
      </c>
      <c r="H86" s="138">
        <f>SUMPRODUCT(H80:H83,$C80:$C83)/$C84</f>
        <v>3351.6989643017505</v>
      </c>
      <c r="I86" s="461">
        <f>(H86/H73)-1</f>
        <v>3.0770598710664343E-2</v>
      </c>
    </row>
    <row r="87" spans="1:12" ht="14.25" thickTop="1" thickBot="1" x14ac:dyDescent="0.25">
      <c r="A87" s="99">
        <v>87</v>
      </c>
      <c r="B87" s="276" t="s">
        <v>451</v>
      </c>
      <c r="C87" s="142"/>
      <c r="D87" s="143"/>
      <c r="E87" s="143"/>
      <c r="F87" s="143"/>
      <c r="G87" s="143"/>
      <c r="H87" s="144">
        <f>C84*H86</f>
        <v>1846898854.4083786</v>
      </c>
      <c r="I87" s="234"/>
      <c r="J87" s="439"/>
      <c r="L87" s="597"/>
    </row>
    <row r="88" spans="1:12" ht="14.25" thickTop="1" thickBot="1" x14ac:dyDescent="0.25">
      <c r="A88" s="99">
        <v>88</v>
      </c>
      <c r="B88" s="122"/>
      <c r="I88" s="407"/>
    </row>
    <row r="89" spans="1:12" x14ac:dyDescent="0.2">
      <c r="A89" s="99">
        <v>89</v>
      </c>
      <c r="B89" s="104"/>
      <c r="C89" s="216" t="s">
        <v>105</v>
      </c>
      <c r="D89" s="105" t="s">
        <v>438</v>
      </c>
      <c r="E89" s="105"/>
      <c r="F89" s="105"/>
      <c r="G89" s="105"/>
      <c r="H89" s="106"/>
      <c r="I89" s="235" t="s">
        <v>129</v>
      </c>
    </row>
    <row r="90" spans="1:12" x14ac:dyDescent="0.2">
      <c r="A90" s="99">
        <v>90</v>
      </c>
      <c r="B90" s="107" t="s">
        <v>140</v>
      </c>
      <c r="C90" s="217" t="s">
        <v>444</v>
      </c>
      <c r="D90" s="270" t="s">
        <v>445</v>
      </c>
      <c r="E90" s="270" t="s">
        <v>445</v>
      </c>
      <c r="F90" s="270" t="s">
        <v>445</v>
      </c>
      <c r="G90" s="270" t="s">
        <v>445</v>
      </c>
      <c r="H90" s="270" t="s">
        <v>445</v>
      </c>
      <c r="I90" s="236" t="s">
        <v>153</v>
      </c>
    </row>
    <row r="91" spans="1:12" x14ac:dyDescent="0.2">
      <c r="A91" s="99">
        <v>91</v>
      </c>
      <c r="B91" s="107" t="s">
        <v>143</v>
      </c>
      <c r="C91" s="218" t="s">
        <v>106</v>
      </c>
      <c r="D91" s="272" t="s">
        <v>102</v>
      </c>
      <c r="E91" s="110" t="s">
        <v>47</v>
      </c>
      <c r="F91" s="110" t="s">
        <v>103</v>
      </c>
      <c r="G91" s="110" t="s">
        <v>48</v>
      </c>
      <c r="H91" s="111" t="s">
        <v>105</v>
      </c>
      <c r="I91" s="237" t="s">
        <v>441</v>
      </c>
    </row>
    <row r="92" spans="1:12" x14ac:dyDescent="0.2">
      <c r="A92" s="99">
        <v>92</v>
      </c>
      <c r="B92" s="113" t="s">
        <v>40</v>
      </c>
      <c r="C92" s="219" t="s">
        <v>360</v>
      </c>
      <c r="D92" s="274" t="s">
        <v>114</v>
      </c>
      <c r="E92" s="114" t="s">
        <v>114</v>
      </c>
      <c r="F92" s="114" t="s">
        <v>114</v>
      </c>
      <c r="G92" s="114" t="s">
        <v>114</v>
      </c>
      <c r="H92" s="115" t="s">
        <v>57</v>
      </c>
      <c r="I92" s="238" t="s">
        <v>152</v>
      </c>
    </row>
    <row r="93" spans="1:12" x14ac:dyDescent="0.2">
      <c r="A93" s="99">
        <v>93</v>
      </c>
      <c r="B93" s="380" t="str">
        <f>'D1. Member Months'!B$10</f>
        <v>Nursing Home Level of Care</v>
      </c>
      <c r="C93" s="220">
        <f>'D1. Member Months'!Q32</f>
        <v>549749.62834481953</v>
      </c>
      <c r="D93" s="225">
        <f>'D5. Waiver Cost Projection'!O70</f>
        <v>3385.2535648779235</v>
      </c>
      <c r="E93" s="40">
        <f>'D5. Waiver Cost Projection'!S70</f>
        <v>0</v>
      </c>
      <c r="F93" s="40">
        <f>'D5. Waiver Cost Projection'!W70</f>
        <v>0</v>
      </c>
      <c r="G93" s="40">
        <f>'D5. Waiver Cost Projection'!AA70</f>
        <v>132.06564388282132</v>
      </c>
      <c r="H93" s="116">
        <f>'D5. Waiver Cost Projection'!AB70</f>
        <v>3517.3192087607449</v>
      </c>
      <c r="I93" s="457">
        <f>(H93/H80)-1</f>
        <v>2.2834401009371286E-2</v>
      </c>
    </row>
    <row r="94" spans="1:12" x14ac:dyDescent="0.2">
      <c r="A94" s="99">
        <v>94</v>
      </c>
      <c r="B94" s="380" t="str">
        <f>'D1. Member Months'!B$11</f>
        <v>Non-Nursing Home Level of Care</v>
      </c>
      <c r="C94" s="220">
        <f>'D1. Member Months'!Q33</f>
        <v>17695.548654704355</v>
      </c>
      <c r="D94" s="225">
        <f>'D5. Waiver Cost Projection'!O71</f>
        <v>649.80683322759785</v>
      </c>
      <c r="E94" s="40">
        <f>'D5. Waiver Cost Projection'!S71</f>
        <v>0</v>
      </c>
      <c r="F94" s="40">
        <f>'D5. Waiver Cost Projection'!W71</f>
        <v>0</v>
      </c>
      <c r="G94" s="40">
        <f>'D5. Waiver Cost Projection'!AA71</f>
        <v>26.188878757652191</v>
      </c>
      <c r="H94" s="116">
        <f>'D5. Waiver Cost Projection'!AB71</f>
        <v>675.99571198525007</v>
      </c>
      <c r="I94" s="458">
        <f>(H94/H81)-1</f>
        <v>2.8023706457782405E-2</v>
      </c>
    </row>
    <row r="95" spans="1:12" x14ac:dyDescent="0.2">
      <c r="A95" s="99">
        <v>95</v>
      </c>
      <c r="B95" s="380"/>
      <c r="C95" s="220"/>
      <c r="D95" s="225"/>
      <c r="E95" s="40"/>
      <c r="F95" s="40"/>
      <c r="G95" s="40"/>
      <c r="H95" s="116"/>
      <c r="I95" s="458"/>
    </row>
    <row r="96" spans="1:12" ht="13.5" thickBot="1" x14ac:dyDescent="0.25">
      <c r="A96" s="99">
        <v>96</v>
      </c>
      <c r="B96" s="380"/>
      <c r="C96" s="227"/>
      <c r="D96" s="225"/>
      <c r="E96" s="40"/>
      <c r="F96" s="40"/>
      <c r="G96" s="40"/>
      <c r="H96" s="116"/>
      <c r="I96" s="459"/>
    </row>
    <row r="97" spans="1:12" ht="14.25" thickTop="1" thickBot="1" x14ac:dyDescent="0.25">
      <c r="A97" s="99">
        <v>97</v>
      </c>
      <c r="B97" s="133" t="s">
        <v>64</v>
      </c>
      <c r="C97" s="135">
        <f>SUM(C93:C96)</f>
        <v>567445.17699952389</v>
      </c>
      <c r="D97" s="136"/>
      <c r="E97" s="137"/>
      <c r="F97" s="137"/>
      <c r="G97" s="137"/>
      <c r="H97" s="137"/>
      <c r="I97" s="466"/>
    </row>
    <row r="98" spans="1:12" ht="14.25" thickTop="1" thickBot="1" x14ac:dyDescent="0.25">
      <c r="A98" s="99">
        <v>98</v>
      </c>
      <c r="B98" s="133" t="s">
        <v>454</v>
      </c>
      <c r="C98" s="134"/>
      <c r="D98" s="138">
        <f>SUMPRODUCT(D93:D96,$C80:$C83)/C84</f>
        <v>3299.5898733414188</v>
      </c>
      <c r="E98" s="138">
        <f>SUMPRODUCT(E93:E96,$C80:$C83)/C84</f>
        <v>0</v>
      </c>
      <c r="F98" s="138">
        <f>SUMPRODUCT(F93:F96,$C80:$C83)/C84</f>
        <v>0</v>
      </c>
      <c r="G98" s="138">
        <f>SUMPRODUCT(G93:G96,$C80:$C83)/C84</f>
        <v>128.74999001041212</v>
      </c>
      <c r="H98" s="138">
        <f>SUMPRODUCT(H93:H96,$C80:$C83)/C84</f>
        <v>3428.3398633518309</v>
      </c>
      <c r="I98" s="457">
        <f>(H98/H86)-1</f>
        <v>2.2866283597174686E-2</v>
      </c>
    </row>
    <row r="99" spans="1:12" ht="14.25" thickTop="1" thickBot="1" x14ac:dyDescent="0.25">
      <c r="A99" s="99">
        <v>99</v>
      </c>
      <c r="B99" s="133" t="s">
        <v>420</v>
      </c>
      <c r="C99" s="134"/>
      <c r="D99" s="138">
        <f>SUMPRODUCT(D93:D96,$C93:$C96)/$C97</f>
        <v>3299.949763393131</v>
      </c>
      <c r="E99" s="138">
        <f>SUMPRODUCT(E93:E96,$C93:$C96)/$C97</f>
        <v>0</v>
      </c>
      <c r="F99" s="138">
        <f>SUMPRODUCT(F93:F96,$C93:$C96)/$C97</f>
        <v>0</v>
      </c>
      <c r="G99" s="138">
        <f>SUMPRODUCT(G93:G96,$C93:$C96)/$C97</f>
        <v>128.76391972581663</v>
      </c>
      <c r="H99" s="138">
        <f>SUMPRODUCT(H93:H96,$C93:$C96)/$C97</f>
        <v>3428.7136831189478</v>
      </c>
      <c r="I99" s="461">
        <f>(H99/H86)-1</f>
        <v>2.2977815023802917E-2</v>
      </c>
    </row>
    <row r="100" spans="1:12" ht="14.25" thickTop="1" thickBot="1" x14ac:dyDescent="0.25">
      <c r="A100" s="99">
        <v>100</v>
      </c>
      <c r="B100" s="276" t="s">
        <v>453</v>
      </c>
      <c r="C100" s="142"/>
      <c r="D100" s="143"/>
      <c r="E100" s="143"/>
      <c r="F100" s="143"/>
      <c r="G100" s="143"/>
      <c r="H100" s="144">
        <f>C97*H99</f>
        <v>1945607042.7981207</v>
      </c>
      <c r="I100" s="234"/>
      <c r="J100" s="439"/>
      <c r="L100" s="597"/>
    </row>
    <row r="101" spans="1:12" ht="14.25" thickTop="1" thickBot="1" x14ac:dyDescent="0.25">
      <c r="A101" s="99">
        <v>101</v>
      </c>
      <c r="I101" s="234"/>
    </row>
    <row r="102" spans="1:12" x14ac:dyDescent="0.2">
      <c r="A102" s="99">
        <v>102</v>
      </c>
      <c r="B102" s="104"/>
      <c r="C102" s="313" t="s">
        <v>105</v>
      </c>
      <c r="D102" s="313" t="s">
        <v>105</v>
      </c>
      <c r="E102" s="19"/>
      <c r="F102" s="19"/>
      <c r="G102" s="19"/>
      <c r="H102" s="19"/>
      <c r="I102" s="239"/>
      <c r="J102" s="239"/>
      <c r="K102" s="239"/>
      <c r="L102" s="239"/>
    </row>
    <row r="103" spans="1:12" x14ac:dyDescent="0.2">
      <c r="A103" s="99">
        <v>103</v>
      </c>
      <c r="B103" s="107" t="s">
        <v>140</v>
      </c>
      <c r="C103" s="314" t="s">
        <v>197</v>
      </c>
      <c r="D103" s="314" t="s">
        <v>446</v>
      </c>
      <c r="I103" s="240" t="s">
        <v>151</v>
      </c>
      <c r="J103" s="240" t="s">
        <v>151</v>
      </c>
      <c r="K103" s="240" t="s">
        <v>151</v>
      </c>
      <c r="L103" s="240" t="s">
        <v>151</v>
      </c>
    </row>
    <row r="104" spans="1:12" x14ac:dyDescent="0.2">
      <c r="A104" s="99">
        <v>104</v>
      </c>
      <c r="B104" s="107" t="s">
        <v>143</v>
      </c>
      <c r="C104" s="315" t="s">
        <v>106</v>
      </c>
      <c r="D104" s="315" t="s">
        <v>106</v>
      </c>
      <c r="I104" s="237" t="s">
        <v>219</v>
      </c>
      <c r="J104" s="237" t="s">
        <v>435</v>
      </c>
      <c r="K104" s="237" t="s">
        <v>219</v>
      </c>
      <c r="L104" s="237" t="s">
        <v>435</v>
      </c>
    </row>
    <row r="105" spans="1:12" x14ac:dyDescent="0.2">
      <c r="A105" s="99">
        <v>105</v>
      </c>
      <c r="B105" s="113" t="s">
        <v>40</v>
      </c>
      <c r="C105" s="316" t="s">
        <v>198</v>
      </c>
      <c r="D105" s="316" t="s">
        <v>447</v>
      </c>
      <c r="H105" s="289"/>
      <c r="I105" s="238" t="s">
        <v>317</v>
      </c>
      <c r="J105" s="238" t="s">
        <v>317</v>
      </c>
      <c r="K105" s="238" t="s">
        <v>155</v>
      </c>
      <c r="L105" s="238" t="s">
        <v>155</v>
      </c>
    </row>
    <row r="106" spans="1:12" x14ac:dyDescent="0.2">
      <c r="A106" s="99">
        <v>106</v>
      </c>
      <c r="B106" s="380" t="str">
        <f>'D1. Member Months'!B10</f>
        <v>Nursing Home Level of Care</v>
      </c>
      <c r="C106" s="220">
        <f>'D1. Member Months'!J20</f>
        <v>946013.55704258685</v>
      </c>
      <c r="D106" s="220">
        <f>'D1. Member Months'!K20</f>
        <v>2535618.2629762422</v>
      </c>
      <c r="I106" s="585">
        <f>((H54/H12)^(1/48))-1</f>
        <v>8.9681593156920592E-4</v>
      </c>
      <c r="J106" s="585">
        <f>(((H93/H12)^(1/84))-1)</f>
        <v>1.4306184274086586E-3</v>
      </c>
      <c r="K106" s="585">
        <f>((H54/H12)^(1/4))-1</f>
        <v>1.0815032585099305E-2</v>
      </c>
      <c r="L106" s="585">
        <f>((H93/H12)^(1/7))-1</f>
        <v>1.7303147527291785E-2</v>
      </c>
    </row>
    <row r="107" spans="1:12" x14ac:dyDescent="0.2">
      <c r="A107" s="99">
        <v>107</v>
      </c>
      <c r="B107" s="380" t="str">
        <f>'D1. Member Months'!B11</f>
        <v>Non-Nursing Home Level of Care</v>
      </c>
      <c r="C107" s="220">
        <f>'D1. Member Months'!J21</f>
        <v>32494.292843422296</v>
      </c>
      <c r="D107" s="220">
        <f>'D1. Member Months'!K21</f>
        <v>84300.342781408341</v>
      </c>
      <c r="H107" s="290"/>
      <c r="I107" s="585">
        <f>((H55/H13)^(1/48))-1</f>
        <v>1.2313485360131438E-3</v>
      </c>
      <c r="J107" s="585">
        <f>(((H94/H13)^(1/84))-1)</f>
        <v>1.6905647235614385E-3</v>
      </c>
      <c r="K107" s="585">
        <f>((H55/H13)^(1/4))-1</f>
        <v>1.4876664779449822E-2</v>
      </c>
      <c r="L107" s="585">
        <f>((H94/H13)^(1/7))-1</f>
        <v>2.0476472299397086E-2</v>
      </c>
    </row>
    <row r="108" spans="1:12" x14ac:dyDescent="0.2">
      <c r="A108" s="99">
        <v>108</v>
      </c>
      <c r="B108" s="380"/>
      <c r="C108" s="220"/>
      <c r="D108" s="220"/>
      <c r="I108" s="586"/>
      <c r="J108" s="586"/>
      <c r="K108" s="586"/>
      <c r="L108" s="586"/>
    </row>
    <row r="109" spans="1:12" ht="13.5" thickBot="1" x14ac:dyDescent="0.25">
      <c r="A109" s="99">
        <v>109</v>
      </c>
      <c r="B109" s="381"/>
      <c r="C109" s="220"/>
      <c r="D109" s="220"/>
      <c r="I109" s="406"/>
      <c r="J109" s="406"/>
      <c r="K109" s="406"/>
      <c r="L109" s="406"/>
    </row>
    <row r="110" spans="1:12" ht="14.25" thickTop="1" thickBot="1" x14ac:dyDescent="0.25">
      <c r="A110" s="99">
        <v>110</v>
      </c>
      <c r="B110" s="133" t="s">
        <v>64</v>
      </c>
      <c r="C110" s="135">
        <f>SUM(C106:C109)</f>
        <v>978507.84988600912</v>
      </c>
      <c r="D110" s="135">
        <f>SUM(D106:D109)</f>
        <v>2619918.6057576505</v>
      </c>
      <c r="I110" s="408"/>
      <c r="J110" s="408"/>
      <c r="K110" s="408"/>
      <c r="L110" s="408"/>
    </row>
    <row r="111" spans="1:12" ht="14.25" thickTop="1" thickBot="1" x14ac:dyDescent="0.25">
      <c r="A111" s="99">
        <v>111</v>
      </c>
      <c r="B111" s="133" t="s">
        <v>594</v>
      </c>
      <c r="C111" s="19"/>
      <c r="I111" s="593">
        <f>((((SUMPRODUCT(H54:H57,$C$12:$C$15)/$C$16)/H17)^(1/48))-1)</f>
        <v>8.9902015928822188E-4</v>
      </c>
      <c r="J111" s="593">
        <f>((((SUMPRODUCT(H93:H96,$C$12:$C$15)/$C$16)/H17)^(1/84))-1)</f>
        <v>1.4323361947168323E-3</v>
      </c>
      <c r="K111" s="593">
        <f>((((SUMPRODUCT(H54:H57,$C$12:$C$15)/$C$16)/H17)^(1/4))-1)</f>
        <v>1.0841745750318266E-2</v>
      </c>
      <c r="L111" s="593">
        <f>((((SUMPRODUCT(H93:H96,$C$12:$C$15)/$C$16)/H17)^(1/7))-1)</f>
        <v>1.732408764887583E-2</v>
      </c>
    </row>
    <row r="112" spans="1:12" ht="14.25" thickTop="1" thickBot="1" x14ac:dyDescent="0.25">
      <c r="A112" s="99">
        <v>112</v>
      </c>
      <c r="B112" s="133" t="s">
        <v>595</v>
      </c>
      <c r="C112" s="19"/>
      <c r="I112" s="594">
        <f>(((H60/H17)^(1/48))-1)</f>
        <v>9.1751390078020911E-4</v>
      </c>
      <c r="J112" s="594">
        <f>(((H99/H17)^(1/84))-1)</f>
        <v>1.4583226251649872E-3</v>
      </c>
      <c r="K112" s="594">
        <f>(((H60/H17)^(1/4))-1)</f>
        <v>1.1065897983024708E-2</v>
      </c>
      <c r="L112" s="594">
        <f>(((H99/H17)^(1/7))-1)</f>
        <v>1.7640918580859255E-2</v>
      </c>
    </row>
    <row r="113" spans="1:9" ht="14.25" thickTop="1" thickBot="1" x14ac:dyDescent="0.25">
      <c r="A113" s="99">
        <v>113</v>
      </c>
      <c r="B113" s="142" t="s">
        <v>593</v>
      </c>
      <c r="C113" s="143"/>
      <c r="D113" s="143"/>
      <c r="E113" s="143"/>
      <c r="F113" s="143"/>
      <c r="G113" s="143"/>
      <c r="H113" s="144">
        <f>H48+H61</f>
        <v>3063776548.4298887</v>
      </c>
      <c r="I113" s="100"/>
    </row>
    <row r="114" spans="1:9" ht="14.25" thickTop="1" thickBot="1" x14ac:dyDescent="0.25">
      <c r="A114" s="99">
        <v>114</v>
      </c>
      <c r="B114" s="142" t="s">
        <v>448</v>
      </c>
      <c r="C114" s="143"/>
      <c r="D114" s="143"/>
      <c r="E114" s="143"/>
      <c r="F114" s="143"/>
      <c r="G114" s="143"/>
      <c r="H114" s="144">
        <f>H48+H61+H74+H87+H100</f>
        <v>8556670937.6882563</v>
      </c>
      <c r="I114" s="100"/>
    </row>
    <row r="115" spans="1:9" ht="13.5" thickTop="1" x14ac:dyDescent="0.2">
      <c r="A115" s="99">
        <v>115</v>
      </c>
      <c r="B115" s="378" t="s">
        <v>290</v>
      </c>
    </row>
    <row r="116" spans="1:9" x14ac:dyDescent="0.2">
      <c r="A116" s="99">
        <v>116</v>
      </c>
      <c r="B116" s="386" t="s">
        <v>291</v>
      </c>
    </row>
    <row r="117" spans="1:9" x14ac:dyDescent="0.2">
      <c r="A117" s="99">
        <v>117</v>
      </c>
      <c r="B117" s="483" t="s">
        <v>318</v>
      </c>
      <c r="C117" s="483"/>
      <c r="D117" s="483"/>
      <c r="E117" s="483"/>
    </row>
    <row r="118" spans="1:9" x14ac:dyDescent="0.2">
      <c r="A118" s="99">
        <v>118</v>
      </c>
      <c r="B118" s="400" t="s">
        <v>292</v>
      </c>
    </row>
  </sheetData>
  <phoneticPr fontId="0" type="noConversion"/>
  <printOptions horizontalCentered="1"/>
  <pageMargins left="0.25" right="0.25" top="0.63" bottom="0.5" header="0.39" footer="0.5"/>
  <pageSetup paperSize="5" scale="55" fitToHeight="0" orientation="landscape" r:id="rId1"/>
  <headerFooter alignWithMargins="0">
    <oddHeader xml:space="preserve">&amp;L&amp;"Arial,Bold"&amp;12State of Wisconsin&amp;C&amp;"Arial,Bold"&amp;12Appendix &amp;A&amp;R&amp;"Arial,Bold"&amp;12 </oddHeader>
    <oddFooter>&amp;L&amp;8'&amp;A'&amp;C&amp;8Page &amp;P of &amp;N&amp;R&amp;8&amp;F</oddFoot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D1. Member Months</vt:lpstr>
      <vt:lpstr>D2.S Services in Waiver Cost</vt:lpstr>
      <vt:lpstr>D2.A Admin in Waiver Cost</vt:lpstr>
      <vt:lpstr>D3. Actual Waiver Cost</vt:lpstr>
      <vt:lpstr>D4. Adjustments in Projection</vt:lpstr>
      <vt:lpstr>D5. Waiver Cost Projection</vt:lpstr>
      <vt:lpstr>D6. RO Targets</vt:lpstr>
      <vt:lpstr>D7. Summary</vt:lpstr>
      <vt:lpstr>'D1. Member Months'!Print_Area</vt:lpstr>
      <vt:lpstr>'D2.A Admin in Waiver Cost'!Print_Area</vt:lpstr>
      <vt:lpstr>'D2.S Services in Waiver Cost'!Print_Area</vt:lpstr>
      <vt:lpstr>'D3. Actual Waiver Cost'!Print_Area</vt:lpstr>
      <vt:lpstr>'D4. Adjustments in Projection'!Print_Area</vt:lpstr>
      <vt:lpstr>'D5. Waiver Cost Projection'!Print_Area</vt:lpstr>
      <vt:lpstr>'D6. RO Targets'!Print_Area</vt:lpstr>
      <vt:lpstr>'D7. Summary'!Print_Area</vt:lpstr>
      <vt:lpstr>'D2.S Services in Waiver Cost'!Print_Titles</vt:lpstr>
      <vt:lpstr>'D3. Actual Waiver Cost'!Print_Titles</vt:lpstr>
      <vt:lpstr>'D5. Waiver Cost Projection'!Print_Titles</vt:lpstr>
      <vt:lpstr>'D6. RO Targets'!Print_Titles</vt:lpstr>
      <vt:lpstr>'D7. Summary'!Print_Titles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2018-04-30T18:24:06Z</dcterms:created>
  <dcterms:modified xsi:type="dcterms:W3CDTF">2018-04-30T18:24:25Z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